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2ZdJ7DxJ4mYI/7/oROPj5Y9xRWe4K+cEH55NNAAtu+fsIDUpF5tRILH5D1DZ2kFbG7n/dyTzzK7QkYiQY9bNJw==" workbookSaltValue="YJBNtrtMTx4noczSSegz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L17" i="14"/>
  <c r="ES31" i="8"/>
  <c r="N25" i="11"/>
  <c r="R8" i="9"/>
  <c r="BH11" i="16" s="1"/>
  <c r="F16" i="11"/>
  <c r="AQ16" i="11" s="1"/>
  <c r="EP31" i="8"/>
  <c r="AL14" i="16"/>
  <c r="AJ14" i="16"/>
  <c r="EP31" i="19"/>
  <c r="T9" i="11"/>
  <c r="BH16" i="11"/>
  <c r="BF29" i="11"/>
  <c r="S14" i="16"/>
  <c r="P14" i="16"/>
  <c r="F13" i="16"/>
  <c r="Z14" i="17"/>
  <c r="R30" i="17"/>
  <c r="K26" i="2"/>
  <c r="N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AH14" i="16"/>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F32" i="20"/>
  <c r="G26" i="14"/>
  <c r="K32" i="20"/>
  <c r="O17" i="11"/>
  <c r="AJ32" i="20"/>
  <c r="G30" i="14"/>
  <c r="G23" i="14"/>
  <c r="U18" i="11"/>
  <c r="AX32" i="20"/>
  <c r="Y32" i="20"/>
  <c r="L32" i="20"/>
  <c r="H32" i="20"/>
  <c r="AF32" i="20"/>
  <c r="S32" i="20"/>
  <c r="AQ32" i="21"/>
  <c r="T31" i="8" l="1"/>
  <c r="K30" i="2"/>
  <c r="AL21"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6"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AL31" i="21"/>
  <c r="AA31"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<sst xmlns="http://schemas.openxmlformats.org/spreadsheetml/2006/main" count="2654" uniqueCount="1183">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</sst>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1</v>
      </c>
      <c r="E5" s="418"/>
      <c r="F5" s="3"/>
      <c r="H5" t="s">
        <v>542</v>
      </c>
      <c r="Q5" s="391">
        <v>3</v>
      </c>
      <c r="R5" s="391">
        <v>2</v>
      </c>
      <c r="S5" t="b">
        <f>AND(Q5&gt;=TrimIni,Q5&lt;=TrimFin)</f>
        <v>0</v>
      </c>
    </row>
    <row r="6" spans="1:19" ht="15">
      <c r="A6" s="419"/>
      <c r="B6" s="418"/>
      <c r="C6" s="416" t="s">
        <v>274</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B1FafiMgcwvgXmZVBkaleFUKpLnybrxMnDOszmDasZhU62zSUOETL/AHYSRUKiVYKqjqtK54NzsJfEInSt+sQ==" saltValue="Z7RhtmAyj81JdZFK/q1l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CASTILLA-LA MANCHA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1 al 1</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29.151664145234491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169</v>
      </c>
      <c r="D10" s="239">
        <f>IF(ISNUMBER(Datos!I10),Datos!I10," - ")</f>
        <v>169</v>
      </c>
      <c r="E10" s="240">
        <f>IF(ISNUMBER(Datos!J10),Datos!J10," - ")</f>
        <v>34</v>
      </c>
      <c r="F10" s="240">
        <f>IF(ISNUMBER(Datos!K10),Datos!K10," - ")</f>
        <v>33</v>
      </c>
      <c r="G10" s="1390" t="str">
        <f>IF(Datos!E10&lt;&gt;"",Datos!E10,Datos!D10)</f>
        <v>37</v>
      </c>
      <c r="H10" s="241">
        <f>IF(ISNUMBER(Datos!L10),Datos!L10," - ")</f>
        <v>170</v>
      </c>
      <c r="I10" s="1400" t="str">
        <f>IF(ISNUMBER(Datos!AS10/Datos!BM10),Datos!AS10/Datos!BM10," - ")</f>
        <v xml:space="preserve"> - </v>
      </c>
      <c r="J10" s="1401">
        <f>IF(ISNUMBER(Datos!BY10/Datos!CN10),Datos!BY10/Datos!CN10," - ")</f>
        <v>0</v>
      </c>
      <c r="K10" s="244">
        <f t="shared" ref="K10:K13" si="1">IF(ISNUMBER((E10-F10)/C10),(E10-F10)/C10," - ")</f>
        <v>5.9171597633136093E-3</v>
      </c>
      <c r="L10" s="1402">
        <f>IF(ISNUMBER(NºAsuntos!I10/NºAsuntos!G10),(NºAsuntos!I10/NºAsuntos!G10)*11," - ")</f>
        <v>56.666666666666664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38.691415313225058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169</v>
      </c>
      <c r="D14" s="1407">
        <f>SUBTOTAL(9,D9:D13)</f>
        <v>169</v>
      </c>
      <c r="E14" s="1408">
        <f>SUBTOTAL(9,E9:E13)</f>
        <v>34</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2332</v>
      </c>
      <c r="D16" s="239">
        <f>IF(ISNUMBER(IF(D_I="SI",Datos!I16,Datos!I16+Datos!AC16)),IF(D_I="SI",Datos!I16,Datos!I16+Datos!AC16)," - ")</f>
        <v>2286</v>
      </c>
      <c r="E16" s="240">
        <f>IF(ISNUMBER(IF(D_I="SI",Datos!J16,Datos!J16+Datos!AD16)),IF(D_I="SI",Datos!J16,Datos!J16+Datos!AD16)," - ")</f>
        <v>2453</v>
      </c>
      <c r="F16" s="240">
        <f>IF(ISNUMBER(IF(D_I="SI",Datos!K16,Datos!K16+Datos!AE16)),IF(D_I="SI",Datos!K16,Datos!K16+Datos!AE16)," - ")</f>
        <v>2778</v>
      </c>
      <c r="G16" s="1390" t="str">
        <f>IF(Datos!E16&lt;&gt;"",Datos!E16,Datos!D16)</f>
        <v>03</v>
      </c>
      <c r="H16" s="241">
        <f>IF(ISNUMBER(IF(D_I="SI",Datos!L16,Datos!L16+Datos!AF16)),IF(D_I="SI",Datos!L16,Datos!L16+Datos!AF16)," - ")</f>
        <v>2007</v>
      </c>
      <c r="I16" s="1400" t="str">
        <f>IF(ISNUMBER(Datos!AS16/Datos!BM16),Datos!AS16/Datos!BM16," - ")</f>
        <v xml:space="preserve"> - </v>
      </c>
      <c r="J16" s="1401">
        <f>IF(ISNUMBER(Datos!BY16/Datos!CN16),Datos!BY16/Datos!CN16," - ")</f>
        <v>0</v>
      </c>
      <c r="K16" s="244">
        <f t="shared" ref="K16:K22" si="3">IF(ISNUMBER((E16-F16)/C16),(E16-F16)/C16," - ")</f>
        <v>-0.13936535162950256</v>
      </c>
      <c r="L16" s="1402">
        <f>IF(ISNUMBER(NºAsuntos!I16/NºAsuntos!G16),(NºAsuntos!I16/NºAsuntos!G16)*11," - ")</f>
        <v>7.9470842332613385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525</v>
      </c>
      <c r="D18" s="239">
        <f>IF(ISNUMBER(IF(D_I="SI",Datos!I18,Datos!I18+Datos!AC18)),IF(D_I="SI",Datos!I18,Datos!I18+Datos!AC18)," - ")</f>
        <v>523</v>
      </c>
      <c r="E18" s="240">
        <f>IF(ISNUMBER(IF(D_I="SI",Datos!J18,Datos!J18+Datos!AD18)),IF(D_I="SI",Datos!J18,Datos!J18+Datos!AD18)," - ")</f>
        <v>320</v>
      </c>
      <c r="F18" s="240">
        <f>IF(ISNUMBER(IF(D_I="SI",Datos!K18,Datos!K18+Datos!AE18)),IF(D_I="SI",Datos!K18,Datos!K18+Datos!AE18)," - ")</f>
        <v>492</v>
      </c>
      <c r="G18" s="1390" t="str">
        <f>IF(Datos!E18&lt;&gt;"",Datos!E18,Datos!D18)</f>
        <v>37</v>
      </c>
      <c r="H18" s="241">
        <f>IF(ISNUMBER(IF(D_I="SI",Datos!L18,Datos!L18+Datos!AF18)),IF(D_I="SI",Datos!L18,Datos!L18+Datos!AF18)," - ")</f>
        <v>353</v>
      </c>
      <c r="I18" s="1400" t="str">
        <f>IF(ISNUMBER(Datos!AS18/Datos!BM18),Datos!AS18/Datos!BM18," - ")</f>
        <v xml:space="preserve"> - </v>
      </c>
      <c r="J18" s="1401" t="str">
        <f>IF(ISNUMBER((Datos!BY18+Datos!BZ18)/Datos!CN18),(Datos!BY18+Datos!BZ18)/Datos!CN18," - ")</f>
        <v xml:space="preserve"> - </v>
      </c>
      <c r="K18" s="244">
        <f t="shared" si="3"/>
        <v>-0.32761904761904764</v>
      </c>
      <c r="L18" s="1402">
        <f>IF(ISNUMBER(NºAsuntos!I18/NºAsuntos!G18),(NºAsuntos!I18/NºAsuntos!G18)*11," - ")</f>
        <v>7.8922764227642279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2857</v>
      </c>
      <c r="D23" s="1407">
        <f>SUBTOTAL(9,D16:D22)</f>
        <v>2809</v>
      </c>
      <c r="E23" s="1408">
        <f>SUBTOTAL(9,E16:E22)</f>
        <v>2773</v>
      </c>
      <c r="F23" s="1408">
        <f>SUBTOTAL(9,F16:F22)</f>
        <v>3270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3026</v>
      </c>
      <c r="D31" s="1435">
        <f>SUBTOTAL(9,D9:D30)</f>
        <v>2978</v>
      </c>
      <c r="E31" s="1436">
        <f>SUBTOTAL(9,E9:E30)</f>
        <v>2807</v>
      </c>
      <c r="F31" s="1436">
        <f>SUBTOTAL(9,F9:F30)</f>
        <v>3303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B9e6eLj7EOqpUm12i/1Idi8Pvcj/D36MmVn9S8pUVpq4sGHZ8or6CwxZlrqNSNLA/qVRdooAoLO80aLgHScEkQ==" saltValue="q1DxCmXdFb35ki9AD0dBw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Vi+BdUddikHpV9zKMkPPpm+EObSIuqivQDPkrQVLPstmSH9djkmoxkrqvma9lx9OaUpmtW4wbNnHPGoVf9CWJA==" saltValue="VC+KP5URHB8RF/4dzthH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6766</v>
      </c>
      <c r="J9" s="194">
        <v>2672</v>
      </c>
      <c r="K9" s="194">
        <v>2525</v>
      </c>
      <c r="L9" s="194">
        <v>6913</v>
      </c>
      <c r="M9" s="194">
        <v>581</v>
      </c>
      <c r="N9" s="194">
        <v>1072</v>
      </c>
      <c r="O9" s="194">
        <v>1385</v>
      </c>
      <c r="P9" s="194">
        <v>631</v>
      </c>
      <c r="Q9" s="194">
        <v>423</v>
      </c>
      <c r="R9" s="194">
        <v>11566</v>
      </c>
      <c r="S9" s="194">
        <v>6535</v>
      </c>
      <c r="T9" s="194">
        <v>2628</v>
      </c>
      <c r="U9" s="194">
        <v>2519</v>
      </c>
      <c r="V9" s="194">
        <v>6644</v>
      </c>
      <c r="W9" s="194">
        <v>647</v>
      </c>
      <c r="X9" s="201">
        <v>929</v>
      </c>
      <c r="Y9" s="204">
        <v>158</v>
      </c>
      <c r="Z9" s="194">
        <v>92</v>
      </c>
      <c r="AA9" s="194">
        <v>119</v>
      </c>
      <c r="AB9" s="194">
        <v>94</v>
      </c>
      <c r="AC9" s="194">
        <v>0</v>
      </c>
      <c r="AD9" s="194">
        <v>0</v>
      </c>
      <c r="AE9" s="194">
        <v>0</v>
      </c>
      <c r="AF9" s="201">
        <v>0</v>
      </c>
      <c r="AG9" s="204">
        <v>183</v>
      </c>
      <c r="AH9" s="194">
        <v>137</v>
      </c>
      <c r="AI9" s="194">
        <v>119</v>
      </c>
      <c r="AJ9" s="205">
        <v>201</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6718</v>
      </c>
      <c r="AZ9" s="133">
        <f>IF(ISNUMBER(IF(J_V="SI",T9,T9+AH9)),IF(J_V="SI",T9,T9+AH9)," - ")</f>
        <v>2765</v>
      </c>
      <c r="BA9" s="134">
        <f>IF(ISNUMBER(IF(J_V="SI",U9,U9+AI9)),IF(J_V="SI",U9,U9+AI9)," - ")</f>
        <v>2638</v>
      </c>
      <c r="BB9" s="134">
        <f>IF(ISNUMBER(IF(J_V="SI",V9,V9+AJ9)),IF(J_V="SI",V9,V9+AJ9)," - ")</f>
        <v>6845</v>
      </c>
      <c r="BC9" s="135">
        <f>IF(ISNUMBER(X9),X9," - ")</f>
        <v>929</v>
      </c>
      <c r="BD9" s="136">
        <f>IF(ISNUMBER(BA9/AZ9),BA9/AZ9," - ")</f>
        <v>0.95406871609403254</v>
      </c>
      <c r="BE9" s="137">
        <f>IF(ISNUMBER(BB9/BA9),BB9/BA9, " - ")</f>
        <v>2.5947687642153148</v>
      </c>
      <c r="BF9" s="137">
        <f>IF(ISNUMBER(BC9/BA9),BC9/BA9, " - ")</f>
        <v>0.35216072782410918</v>
      </c>
      <c r="BG9" s="209">
        <f>IF(ISNUMBER((AY9+AZ9)/BA9),(AY9+AZ9)/BA9," - ")</f>
        <v>3.5947687642153148</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169</v>
      </c>
      <c r="J10" s="194">
        <v>34</v>
      </c>
      <c r="K10" s="194">
        <v>33</v>
      </c>
      <c r="L10" s="194">
        <v>170</v>
      </c>
      <c r="M10" s="194">
        <v>13</v>
      </c>
      <c r="N10" s="194">
        <v>11</v>
      </c>
      <c r="O10" s="194">
        <v>11</v>
      </c>
      <c r="P10" s="194">
        <v>7</v>
      </c>
      <c r="Q10" s="194">
        <v>2</v>
      </c>
      <c r="R10" s="194">
        <v>90</v>
      </c>
      <c r="S10" s="194">
        <v>112</v>
      </c>
      <c r="T10" s="194">
        <v>43</v>
      </c>
      <c r="U10" s="194">
        <v>5</v>
      </c>
      <c r="V10" s="194">
        <v>150</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1061</v>
      </c>
      <c r="AT10" s="205"/>
      <c r="AU10" s="213"/>
      <c r="AV10" s="205"/>
      <c r="AW10" s="213"/>
      <c r="AX10" s="205"/>
      <c r="AY10" s="138">
        <f t="shared" ref="AY10:BC10" si="0">IF(ISNUMBER(S10),S10," - ")</f>
        <v>112</v>
      </c>
      <c r="AZ10" s="139">
        <f t="shared" si="0"/>
        <v>43</v>
      </c>
      <c r="BA10" s="139">
        <f t="shared" si="0"/>
        <v>5</v>
      </c>
      <c r="BB10" s="139">
        <f t="shared" si="0"/>
        <v>150</v>
      </c>
      <c r="BC10" s="135">
        <f t="shared" si="0"/>
        <v>4</v>
      </c>
      <c r="BD10" s="136">
        <f>IF(ISNUMBER(BA10/AZ10),BA10/AZ10," - ")</f>
        <v>0.11627906976744186</v>
      </c>
      <c r="BE10" s="137">
        <f>IF(ISNUMBER(BB10/BA10),BB10/BA10, " - ")</f>
        <v>30</v>
      </c>
      <c r="BF10" s="137">
        <f>IF(ISNUMBER(BC10/BA10),BC10/BA10, " - ")</f>
        <v>0.8</v>
      </c>
      <c r="BG10" s="209">
        <f>IF(ISNUMBER((AY10+AZ10)/BA10),(AY10+AZ10)/BA10," - ")</f>
        <v>31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1036</v>
      </c>
      <c r="J11" s="196">
        <v>407</v>
      </c>
      <c r="K11" s="196">
        <v>326</v>
      </c>
      <c r="L11" s="196">
        <v>1118</v>
      </c>
      <c r="M11" s="196">
        <v>190</v>
      </c>
      <c r="N11" s="196">
        <v>164</v>
      </c>
      <c r="O11" s="194">
        <v>118</v>
      </c>
      <c r="P11" s="196">
        <v>57</v>
      </c>
      <c r="Q11" s="196">
        <v>108</v>
      </c>
      <c r="R11" s="196">
        <v>1085</v>
      </c>
      <c r="S11" s="196">
        <v>1154</v>
      </c>
      <c r="T11" s="196">
        <v>374</v>
      </c>
      <c r="U11" s="196">
        <v>457</v>
      </c>
      <c r="V11" s="196">
        <v>1073</v>
      </c>
      <c r="W11" s="196">
        <v>238</v>
      </c>
      <c r="X11" s="202">
        <v>151</v>
      </c>
      <c r="Y11" s="204">
        <v>401</v>
      </c>
      <c r="Z11" s="194">
        <v>102</v>
      </c>
      <c r="AA11" s="194">
        <v>105</v>
      </c>
      <c r="AB11" s="194">
        <v>398</v>
      </c>
      <c r="AC11" s="196">
        <v>0</v>
      </c>
      <c r="AD11" s="196">
        <v>0</v>
      </c>
      <c r="AE11" s="196">
        <v>0</v>
      </c>
      <c r="AF11" s="202">
        <v>0</v>
      </c>
      <c r="AG11" s="215">
        <v>266</v>
      </c>
      <c r="AH11" s="196">
        <v>63</v>
      </c>
      <c r="AI11" s="196">
        <v>60</v>
      </c>
      <c r="AJ11" s="216">
        <v>269</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1420</v>
      </c>
      <c r="AZ11" s="137">
        <f t="shared" si="1"/>
        <v>437</v>
      </c>
      <c r="BA11" s="137">
        <f t="shared" si="1"/>
        <v>517</v>
      </c>
      <c r="BB11" s="137">
        <f t="shared" si="1"/>
        <v>1342</v>
      </c>
      <c r="BC11" s="135">
        <f>IF(ISNUMBER(X11),X11," - ")</f>
        <v>151</v>
      </c>
      <c r="BD11" s="136">
        <f t="shared" ref="BD11:BD13" si="2">IF(ISNUMBER(BA11/AZ11),BA11/AZ11," - ")</f>
        <v>1.1830663615560641</v>
      </c>
      <c r="BE11" s="137">
        <f t="shared" ref="BE11:BE13" si="3">IF(ISNUMBER(BB11/BA11),BB11/BA11, " - ")</f>
        <v>2.5957446808510638</v>
      </c>
      <c r="BF11" s="137">
        <f t="shared" ref="BF11:BF13" si="4">IF(ISNUMBER(BC11/BA11),BC11/BA11, " - ")</f>
        <v>0.29206963249516443</v>
      </c>
      <c r="BG11" s="209">
        <f t="shared" ref="BG11:BG13" si="5">IF(ISNUMBER((AY11+AZ11)/BA11),(AY11+AZ11)/BA11," - ")</f>
        <v>3.5918762088974856</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0</v>
      </c>
      <c r="J12" s="196">
        <v>0</v>
      </c>
      <c r="K12" s="196">
        <v>0</v>
      </c>
      <c r="L12" s="196">
        <v>0</v>
      </c>
      <c r="M12" s="196">
        <v>0</v>
      </c>
      <c r="N12" s="196">
        <v>0</v>
      </c>
      <c r="O12" s="194">
        <v>0</v>
      </c>
      <c r="P12" s="196">
        <v>4</v>
      </c>
      <c r="Q12" s="196">
        <v>0</v>
      </c>
      <c r="R12" s="196">
        <v>29</v>
      </c>
      <c r="S12" s="196">
        <v>12</v>
      </c>
      <c r="T12" s="196">
        <v>1</v>
      </c>
      <c r="U12" s="196">
        <v>5</v>
      </c>
      <c r="V12" s="196">
        <v>8</v>
      </c>
      <c r="W12" s="196">
        <v>0</v>
      </c>
      <c r="X12" s="202">
        <v>3</v>
      </c>
      <c r="Y12" s="204">
        <v>0</v>
      </c>
      <c r="Z12" s="194">
        <v>0</v>
      </c>
      <c r="AA12" s="194">
        <v>0</v>
      </c>
      <c r="AB12" s="194">
        <v>0</v>
      </c>
      <c r="AC12" s="196">
        <v>0</v>
      </c>
      <c r="AD12" s="196">
        <v>0</v>
      </c>
      <c r="AE12" s="196">
        <v>0</v>
      </c>
      <c r="AF12" s="202">
        <v>0</v>
      </c>
      <c r="AG12" s="215">
        <v>8</v>
      </c>
      <c r="AH12" s="196">
        <v>2</v>
      </c>
      <c r="AI12" s="196">
        <v>2</v>
      </c>
      <c r="AJ12" s="216">
        <v>8</v>
      </c>
      <c r="AK12" s="195">
        <v>0</v>
      </c>
      <c r="AL12" s="196">
        <v>0</v>
      </c>
      <c r="AM12" s="196">
        <v>0</v>
      </c>
      <c r="AN12" s="202">
        <v>0</v>
      </c>
      <c r="AO12" s="283">
        <v>0</v>
      </c>
      <c r="AP12" s="168">
        <v>0</v>
      </c>
      <c r="AQ12" s="168">
        <v>0</v>
      </c>
      <c r="AR12" s="167">
        <v>0</v>
      </c>
      <c r="AS12" s="381" t="s">
        <v>1069</v>
      </c>
      <c r="AT12" s="216"/>
      <c r="AU12" s="215"/>
      <c r="AV12" s="216"/>
      <c r="AW12" s="215"/>
      <c r="AX12" s="216"/>
      <c r="AY12" s="136">
        <f t="shared" si="1"/>
        <v>20</v>
      </c>
      <c r="AZ12" s="137">
        <f t="shared" si="1"/>
        <v>3</v>
      </c>
      <c r="BA12" s="137">
        <f t="shared" si="1"/>
        <v>7</v>
      </c>
      <c r="BB12" s="137">
        <f t="shared" si="1"/>
        <v>16</v>
      </c>
      <c r="BC12" s="135">
        <f>IF(ISNUMBER(X12),X12," - ")</f>
        <v>3</v>
      </c>
      <c r="BD12" s="136">
        <f t="shared" si="2"/>
        <v>2.3333333333333335</v>
      </c>
      <c r="BE12" s="137">
        <f t="shared" si="3"/>
        <v>2.2857142857142856</v>
      </c>
      <c r="BF12" s="137">
        <f t="shared" si="4"/>
        <v>0.42857142857142855</v>
      </c>
      <c r="BG12" s="209">
        <f t="shared" si="5"/>
        <v>3.2857142857142856</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7971</v>
      </c>
      <c r="J14" s="197">
        <f t="shared" si="7"/>
        <v>3113</v>
      </c>
      <c r="K14" s="197">
        <f t="shared" si="7"/>
        <v>2884</v>
      </c>
      <c r="L14" s="197">
        <f t="shared" si="7"/>
        <v>8201</v>
      </c>
      <c r="M14" s="197">
        <f t="shared" si="7"/>
        <v>784</v>
      </c>
      <c r="N14" s="197">
        <f t="shared" si="7"/>
        <v>1247</v>
      </c>
      <c r="O14" s="197">
        <f t="shared" si="7"/>
        <v>1514</v>
      </c>
      <c r="P14" s="197">
        <f t="shared" si="7"/>
        <v>699</v>
      </c>
      <c r="Q14" s="197">
        <f t="shared" si="7"/>
        <v>533</v>
      </c>
      <c r="R14" s="197">
        <f t="shared" si="7"/>
        <v>12770</v>
      </c>
      <c r="S14" s="197">
        <f t="shared" si="7"/>
        <v>7813</v>
      </c>
      <c r="T14" s="197">
        <f t="shared" si="7"/>
        <v>3046</v>
      </c>
      <c r="U14" s="197">
        <f t="shared" si="7"/>
        <v>2986</v>
      </c>
      <c r="V14" s="197">
        <f t="shared" si="7"/>
        <v>7875</v>
      </c>
      <c r="W14" s="197">
        <f t="shared" si="7"/>
        <v>889</v>
      </c>
      <c r="X14" s="197">
        <f t="shared" si="7"/>
        <v>1084</v>
      </c>
      <c r="Y14" s="197">
        <f t="shared" si="7"/>
        <v>559</v>
      </c>
      <c r="Z14" s="197">
        <f t="shared" si="7"/>
        <v>194</v>
      </c>
      <c r="AA14" s="197">
        <f t="shared" si="7"/>
        <v>224</v>
      </c>
      <c r="AB14" s="197">
        <f t="shared" si="7"/>
        <v>492</v>
      </c>
      <c r="AC14" s="197">
        <f t="shared" si="7"/>
        <v>0</v>
      </c>
      <c r="AD14" s="197">
        <f t="shared" si="7"/>
        <v>0</v>
      </c>
      <c r="AE14" s="197">
        <f t="shared" si="7"/>
        <v>0</v>
      </c>
      <c r="AF14" s="197">
        <f>SUBTOTAL(9,AF9:AF13)</f>
        <v>0</v>
      </c>
      <c r="AG14" s="197">
        <f t="shared" ref="AG14:AT14" si="8">SUBTOTAL(9,AG8:AG13)</f>
        <v>457</v>
      </c>
      <c r="AH14" s="197">
        <f t="shared" si="8"/>
        <v>202</v>
      </c>
      <c r="AI14" s="197">
        <f t="shared" si="8"/>
        <v>181</v>
      </c>
      <c r="AJ14" s="197">
        <f t="shared" si="8"/>
        <v>478</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8270</v>
      </c>
      <c r="AZ14" s="197">
        <f>SUBTOTAL(9,AZ8:AZ13)</f>
        <v>3248</v>
      </c>
      <c r="BA14" s="197">
        <f>SUBTOTAL(9,BA8:BA13)</f>
        <v>3167</v>
      </c>
      <c r="BB14" s="197">
        <f>SUBTOTAL(9,BB8:BB13)</f>
        <v>8353</v>
      </c>
      <c r="BC14" s="197">
        <f>SUBTOTAL(9,BC8:BC13)</f>
        <v>1087</v>
      </c>
      <c r="BD14" s="219">
        <f>IF(ISNUMBER(BA14/AZ14),BA14/AZ14," - ")</f>
        <v>0.97506157635467983</v>
      </c>
      <c r="BE14" s="220">
        <f>IF(ISNUMBER(BB14/BA14),BB14/BA14, " - ")</f>
        <v>2.6375118408588571</v>
      </c>
      <c r="BF14" s="220">
        <f>IF(ISNUMBER(BC14/BA14),BC14/BA14, " - ")</f>
        <v>0.3432270287338175</v>
      </c>
      <c r="BG14" s="221">
        <f>IF(ISNUMBER((AY14+AZ14)/BA14),(AY14+AZ14)/BA14," - ")</f>
        <v>3.6368803283864857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2286</v>
      </c>
      <c r="J16" s="196">
        <v>2453</v>
      </c>
      <c r="K16" s="196">
        <v>2778</v>
      </c>
      <c r="L16" s="196">
        <v>2007</v>
      </c>
      <c r="M16" s="196">
        <v>340</v>
      </c>
      <c r="N16" s="196">
        <v>1648</v>
      </c>
      <c r="O16" s="194">
        <v>104</v>
      </c>
      <c r="P16" s="196">
        <v>149</v>
      </c>
      <c r="Q16" s="196">
        <v>114</v>
      </c>
      <c r="R16" s="196">
        <v>421</v>
      </c>
      <c r="S16" s="196">
        <v>2686</v>
      </c>
      <c r="T16" s="196">
        <v>2024</v>
      </c>
      <c r="U16" s="196">
        <v>2118</v>
      </c>
      <c r="V16" s="196">
        <v>2470</v>
      </c>
      <c r="W16" s="196">
        <v>321</v>
      </c>
      <c r="X16" s="202">
        <v>1304</v>
      </c>
      <c r="Y16" s="215">
        <v>0</v>
      </c>
      <c r="Z16" s="196">
        <v>0</v>
      </c>
      <c r="AA16" s="196">
        <v>0</v>
      </c>
      <c r="AB16" s="196">
        <v>0</v>
      </c>
      <c r="AC16" s="196">
        <v>2</v>
      </c>
      <c r="AD16" s="196">
        <v>10</v>
      </c>
      <c r="AE16" s="196">
        <v>12</v>
      </c>
      <c r="AF16" s="202">
        <v>0</v>
      </c>
      <c r="AG16" s="215">
        <v>0</v>
      </c>
      <c r="AH16" s="196">
        <v>0</v>
      </c>
      <c r="AI16" s="196">
        <v>0</v>
      </c>
      <c r="AJ16" s="216">
        <v>0</v>
      </c>
      <c r="AK16" s="195">
        <v>7</v>
      </c>
      <c r="AL16" s="196">
        <v>15</v>
      </c>
      <c r="AM16" s="196">
        <v>17</v>
      </c>
      <c r="AN16" s="202">
        <v>5</v>
      </c>
      <c r="AO16" s="283">
        <v>4</v>
      </c>
      <c r="AP16" s="168">
        <v>4</v>
      </c>
      <c r="AQ16" s="168">
        <v>4</v>
      </c>
      <c r="AR16" s="168">
        <v>4</v>
      </c>
      <c r="AS16" s="381" t="s">
        <v>697</v>
      </c>
      <c r="AT16" s="216" t="s">
        <v>420</v>
      </c>
      <c r="AU16" s="215"/>
      <c r="AV16" s="216"/>
      <c r="AW16" s="215"/>
      <c r="AX16" s="216"/>
      <c r="AY16" s="138">
        <f t="shared" ref="AY16:BB17" si="10">IF(ISNUMBER(IF(D_I="SI",S16,S16+AK16)),IF(D_I="SI",S16,S16+AK16)," - ")</f>
        <v>2686</v>
      </c>
      <c r="AZ16" s="139">
        <f t="shared" si="10"/>
        <v>2024</v>
      </c>
      <c r="BA16" s="139">
        <f t="shared" si="10"/>
        <v>2118</v>
      </c>
      <c r="BB16" s="139">
        <f t="shared" si="10"/>
        <v>2470</v>
      </c>
      <c r="BC16" s="135">
        <f>IF(ISNUMBER(W16),W16," - ")</f>
        <v>321</v>
      </c>
      <c r="BD16" s="136">
        <f>IF(ISNUMBER(BA16/AZ16),BA16/AZ16," - ")</f>
        <v>1.0464426877470356</v>
      </c>
      <c r="BE16" s="137">
        <f>IF(ISNUMBER(BB16/BA16),BB16/BA16, " - ")</f>
        <v>1.166194523135033</v>
      </c>
      <c r="BF16" s="137">
        <f>IF(ISNUMBER(BC16/BA16),BC16/BA16, " - ")</f>
        <v>0.15155807365439095</v>
      </c>
      <c r="BG16" s="209">
        <f t="shared" ref="BG16:BG22" si="11">IF(ISNUMBER((AY16+AZ16)/BA16),(AY16+AZ16)/BA16," - ")</f>
        <v>2.2237960339943341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523</v>
      </c>
      <c r="J18" s="196">
        <v>320</v>
      </c>
      <c r="K18" s="196">
        <v>492</v>
      </c>
      <c r="L18" s="196">
        <v>353</v>
      </c>
      <c r="M18" s="196">
        <v>21</v>
      </c>
      <c r="N18" s="196">
        <v>336</v>
      </c>
      <c r="O18" s="196">
        <v>0</v>
      </c>
      <c r="P18" s="196">
        <v>0</v>
      </c>
      <c r="Q18" s="196">
        <v>0</v>
      </c>
      <c r="R18" s="196">
        <v>7</v>
      </c>
      <c r="S18" s="196">
        <v>469</v>
      </c>
      <c r="T18" s="196">
        <v>204</v>
      </c>
      <c r="U18" s="196">
        <v>242</v>
      </c>
      <c r="V18" s="196">
        <v>443</v>
      </c>
      <c r="W18" s="196">
        <v>26</v>
      </c>
      <c r="X18" s="202">
        <v>138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1060</v>
      </c>
      <c r="AT18" s="223"/>
      <c r="AU18" s="213"/>
      <c r="AV18" s="223"/>
      <c r="AW18" s="213"/>
      <c r="AX18" s="223"/>
      <c r="AY18" s="138">
        <f t="shared" ref="AY18:BB19" si="15">IF(ISNUMBER(S18),S18," - ")</f>
        <v>469</v>
      </c>
      <c r="AZ18" s="139">
        <f t="shared" si="15"/>
        <v>204</v>
      </c>
      <c r="BA18" s="139">
        <f t="shared" si="15"/>
        <v>242</v>
      </c>
      <c r="BB18" s="139">
        <f t="shared" si="15"/>
        <v>443</v>
      </c>
      <c r="BC18" s="135">
        <f>IF(ISNUMBER(W18),W18," - ")</f>
        <v>26</v>
      </c>
      <c r="BD18" s="136">
        <f>IF(ISNUMBER(BA18/AZ18),BA18/AZ18," - ")</f>
        <v>1.1862745098039216</v>
      </c>
      <c r="BE18" s="137">
        <f>IF(ISNUMBER(BB18/BA18),BB18/BA18, " - ")</f>
        <v>1.8305785123966942</v>
      </c>
      <c r="BF18" s="137">
        <f>IF(ISNUMBER(BC18/BA18),BC18/BA18, " - ")</f>
        <v>0.10743801652892562</v>
      </c>
      <c r="BG18" s="209">
        <f>IF(ISNUMBER((AY18+AZ18)/BA18),(AY18+AZ18)/BA18," - ")</f>
        <v>2.78099173553719</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2809</v>
      </c>
      <c r="J23" s="197">
        <f t="shared" si="21"/>
        <v>2773</v>
      </c>
      <c r="K23" s="197">
        <f t="shared" si="21"/>
        <v>3270</v>
      </c>
      <c r="L23" s="197">
        <f t="shared" si="21"/>
        <v>2360</v>
      </c>
      <c r="M23" s="197">
        <f t="shared" si="21"/>
        <v>361</v>
      </c>
      <c r="N23" s="197">
        <f t="shared" si="21"/>
        <v>1984</v>
      </c>
      <c r="O23" s="197">
        <f t="shared" si="21"/>
        <v>104</v>
      </c>
      <c r="P23" s="197">
        <f t="shared" si="21"/>
        <v>149</v>
      </c>
      <c r="Q23" s="197">
        <f t="shared" si="21"/>
        <v>114</v>
      </c>
      <c r="R23" s="197">
        <f t="shared" si="21"/>
        <v>428</v>
      </c>
      <c r="S23" s="197">
        <f t="shared" si="21"/>
        <v>3155</v>
      </c>
      <c r="T23" s="197">
        <f t="shared" si="21"/>
        <v>2228</v>
      </c>
      <c r="U23" s="197">
        <f t="shared" si="21"/>
        <v>2360</v>
      </c>
      <c r="V23" s="197">
        <f t="shared" si="21"/>
        <v>2913</v>
      </c>
      <c r="W23" s="197">
        <f t="shared" si="21"/>
        <v>347</v>
      </c>
      <c r="X23" s="197">
        <f t="shared" si="21"/>
        <v>1442</v>
      </c>
      <c r="Y23" s="197">
        <f t="shared" si="21"/>
        <v>0</v>
      </c>
      <c r="Z23" s="197">
        <f t="shared" si="21"/>
        <v>0</v>
      </c>
      <c r="AA23" s="197">
        <f t="shared" si="21"/>
        <v>0</v>
      </c>
      <c r="AB23" s="197">
        <f t="shared" si="21"/>
        <v>0</v>
      </c>
      <c r="AC23" s="197">
        <f t="shared" si="21"/>
        <v>2</v>
      </c>
      <c r="AD23" s="197">
        <f t="shared" si="21"/>
        <v>10</v>
      </c>
      <c r="AE23" s="197">
        <f t="shared" si="21"/>
        <v>12</v>
      </c>
      <c r="AF23" s="197">
        <f t="shared" si="21"/>
        <v>0</v>
      </c>
      <c r="AG23" s="197">
        <f t="shared" si="21"/>
        <v>0</v>
      </c>
      <c r="AH23" s="197">
        <f t="shared" si="21"/>
        <v>0</v>
      </c>
      <c r="AI23" s="197">
        <f t="shared" si="21"/>
        <v>0</v>
      </c>
      <c r="AJ23" s="197">
        <f t="shared" si="21"/>
        <v>0</v>
      </c>
      <c r="AK23" s="197">
        <f t="shared" si="21"/>
        <v>7</v>
      </c>
      <c r="AL23" s="197">
        <f t="shared" si="21"/>
        <v>15</v>
      </c>
      <c r="AM23" s="197">
        <f t="shared" si="21"/>
        <v>17</v>
      </c>
      <c r="AN23" s="197">
        <f t="shared" si="21"/>
        <v>5</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3155</v>
      </c>
      <c r="AZ23" s="197">
        <f>SUBTOTAL(9,AZ15:AZ22)</f>
        <v>2228</v>
      </c>
      <c r="BA23" s="197">
        <f>SUBTOTAL(9,BA15:BA22)</f>
        <v>2360</v>
      </c>
      <c r="BB23" s="197">
        <f>SUBTOTAL(9,BB15:BB22)</f>
        <v>2913</v>
      </c>
      <c r="BC23" s="197">
        <f>SUBTOTAL(9,BC15:BC22)</f>
        <v>347</v>
      </c>
      <c r="BD23" s="219">
        <f>IF(ISNUMBER(BA23/AZ23),BA23/AZ23," - ")</f>
        <v>1.0592459605026929</v>
      </c>
      <c r="BE23" s="220">
        <f>IF(ISNUMBER(BB23/BA23),BB23/BA23, " - ")</f>
        <v>1.2343220338983052</v>
      </c>
      <c r="BF23" s="220">
        <f>IF(ISNUMBER(BC23/BA23),BC23/BA23, " - ")</f>
        <v>0.14703389830508476</v>
      </c>
      <c r="BG23" s="221">
        <f>IF(ISNUMBER((AY23+AZ23)/BA23),(AY23+AZ23)/BA23," - ")</f>
        <v>2.2809322033898307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10780</v>
      </c>
      <c r="J31" s="144">
        <f t="shared" si="36"/>
        <v>5886</v>
      </c>
      <c r="K31" s="144">
        <f t="shared" si="36"/>
        <v>6154</v>
      </c>
      <c r="L31" s="144">
        <f t="shared" si="36"/>
        <v>10561</v>
      </c>
      <c r="M31" s="144">
        <f t="shared" si="36"/>
        <v>1145</v>
      </c>
      <c r="N31" s="144">
        <f t="shared" si="36"/>
        <v>3231</v>
      </c>
      <c r="O31" s="144">
        <f t="shared" si="36"/>
        <v>1618</v>
      </c>
      <c r="P31" s="144">
        <f t="shared" si="36"/>
        <v>848</v>
      </c>
      <c r="Q31" s="144">
        <f t="shared" si="36"/>
        <v>647</v>
      </c>
      <c r="R31" s="144">
        <f t="shared" si="36"/>
        <v>13198</v>
      </c>
      <c r="S31" s="144">
        <f t="shared" si="36"/>
        <v>10968</v>
      </c>
      <c r="T31" s="144">
        <f t="shared" si="36"/>
        <v>5274</v>
      </c>
      <c r="U31" s="144">
        <f t="shared" si="36"/>
        <v>5346</v>
      </c>
      <c r="V31" s="144">
        <f t="shared" si="36"/>
        <v>10788</v>
      </c>
      <c r="W31" s="144">
        <f t="shared" si="36"/>
        <v>1236</v>
      </c>
      <c r="X31" s="144">
        <f t="shared" si="36"/>
        <v>2526</v>
      </c>
      <c r="Y31" s="144">
        <f t="shared" si="36"/>
        <v>559</v>
      </c>
      <c r="Z31" s="144">
        <f t="shared" si="36"/>
        <v>194</v>
      </c>
      <c r="AA31" s="144">
        <f t="shared" si="36"/>
        <v>224</v>
      </c>
      <c r="AB31" s="144">
        <f t="shared" si="36"/>
        <v>492</v>
      </c>
      <c r="AC31" s="144">
        <f t="shared" si="36"/>
        <v>2</v>
      </c>
      <c r="AD31" s="144">
        <f t="shared" si="36"/>
        <v>10</v>
      </c>
      <c r="AE31" s="144">
        <f t="shared" si="36"/>
        <v>12</v>
      </c>
      <c r="AF31" s="144">
        <f t="shared" si="36"/>
        <v>0</v>
      </c>
      <c r="AG31" s="144">
        <f t="shared" si="36"/>
        <v>457</v>
      </c>
      <c r="AH31" s="144">
        <f t="shared" si="36"/>
        <v>202</v>
      </c>
      <c r="AI31" s="144">
        <f t="shared" si="36"/>
        <v>181</v>
      </c>
      <c r="AJ31" s="144">
        <f t="shared" si="36"/>
        <v>478</v>
      </c>
      <c r="AK31" s="144">
        <f t="shared" si="36"/>
        <v>7</v>
      </c>
      <c r="AL31" s="144">
        <f t="shared" si="36"/>
        <v>15</v>
      </c>
      <c r="AM31" s="144">
        <f t="shared" si="36"/>
        <v>17</v>
      </c>
      <c r="AN31" s="224">
        <f t="shared" si="36"/>
        <v>5</v>
      </c>
      <c r="AO31" s="225">
        <v>13</v>
      </c>
      <c r="AP31" s="225">
        <v>12</v>
      </c>
      <c r="AQ31" s="225">
        <v>12</v>
      </c>
      <c r="AR31" s="225">
        <v>12</v>
      </c>
      <c r="AS31" s="166">
        <f t="shared" si="36"/>
        <v>0</v>
      </c>
      <c r="AT31" s="166">
        <f t="shared" si="36"/>
        <v>0</v>
      </c>
      <c r="AU31" s="225"/>
      <c r="AV31" s="226"/>
      <c r="AW31" s="225"/>
      <c r="AX31" s="226"/>
      <c r="AY31" s="143">
        <f>SUBTOTAL(9,AY9:AY30)</f>
        <v>11425</v>
      </c>
      <c r="AZ31" s="144">
        <f>SUBTOTAL(9,AZ9:AZ30)</f>
        <v>5476</v>
      </c>
      <c r="BA31" s="144">
        <f>SUBTOTAL(9,BA9:BA30)</f>
        <v>5527</v>
      </c>
      <c r="BB31" s="144">
        <f>SUBTOTAL(9,BB9:BB30)</f>
        <v>11266</v>
      </c>
      <c r="BC31" s="145">
        <f>SUBTOTAL(9,BC9:BC30)</f>
        <v>1434</v>
      </c>
      <c r="BD31" s="227">
        <f>IF(ISNUMBER(BA31/AZ31),BA31/AZ31," - ")</f>
        <v>1.0093133674214756</v>
      </c>
      <c r="BE31" s="224">
        <f>IF(ISNUMBER(BB31/BA31),BB31/BA31, " - ")</f>
        <v>2.0383571557807127</v>
      </c>
      <c r="BF31" s="224">
        <f>IF(ISNUMBER(BC31/BA31),BC31/BA31, " - ")</f>
        <v>0.25945359146010494</v>
      </c>
      <c r="BG31" s="145">
        <f>IF(ISNUMBER((AY31+AZ31)/BA31),(AY31+AZ31)/BA31," - ")</f>
        <v>3.0578975936312647</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B8+6T1r/bkSwnhWgFvWBU8xfqXF/YF9OD0D/2BVo4hfcakgVInmCJiXbuDv1TYHMYqeC1LzDPGs5LXTJCJbBA==" saltValue="h/eHC62ohAp58awp0E/F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vGMQ6CZYnGEFU3NuhNgLAuexPGib1YOwTQrwLWuNtLlMQHQQMIkijMdmQXe35R1404TclBTnUcnbpYKKTMZhQ==" saltValue="rA/u8RobqIfxhYWw9nLe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GUADALAJARA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92</v>
      </c>
      <c r="O9" s="549"/>
      <c r="P9" s="549"/>
      <c r="Q9" s="547">
        <f>IF(ISNUMBER(Datos!P9),Datos!P9,0)</f>
        <v>631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423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94</v>
      </c>
      <c r="AI9" s="549" t="str">
        <f>IF(ISNUMBER(Datos!CD9),Datos!CD9,"-")</f>
        <v>-</v>
      </c>
      <c r="AJ9" s="549" t="str">
        <f>IF(ISNUMBER(Datos!EN9),Datos!EN9," - ")</f>
        <v xml:space="preserve"> - </v>
      </c>
      <c r="AK9" s="549"/>
      <c r="AL9" s="550"/>
      <c r="AM9" s="766">
        <f>IF(ISNUMBER(Datos!R9),Datos!R9," - ")</f>
        <v>11566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581</v>
      </c>
      <c r="BD9" s="693">
        <f>IF(ISNUMBER(Datos!N9),Datos!N9," - ")</f>
        <v>1072</v>
      </c>
      <c r="BE9" s="693" t="str">
        <f>IF(ISNUMBER(Datos!BW9),Datos!BW9," - ")</f>
        <v xml:space="preserve"> - </v>
      </c>
      <c r="BF9" s="762" t="str">
        <f>IF(ISNUMBER(Datos!BX9),Datos!BX9," - ")</f>
        <v xml:space="preserve"> - </v>
      </c>
      <c r="BG9" s="763">
        <f>IF(ISNUMBER(IF(J_V="SI",Datos!K9/Datos!J9,(Datos!K9+Datos!AA9)/(Datos!J9+Datos!Z9))),IF(J_V="SI",Datos!K9/Datos!J9,(Datos!K9+Datos!AA9)/(Datos!J9+Datos!Z9))," - ")</f>
        <v>0.95658465991316932</v>
      </c>
      <c r="BH9" s="764">
        <f>IF(ISNUMBER(((IF(J_V="SI",Datos!L9/Datos!K9,(Datos!L9+Datos!AB9)/(Datos!K9+Datos!AA9)))*11)/factor_trimestre),((IF(J_V="SI",Datos!L9/Datos!K9,(Datos!L9+Datos!AB9)/(Datos!K9+Datos!AA9)))*11)/factor_trimestre," - ")</f>
        <v>7.9504538577912252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1.8313083289311499E-2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169</v>
      </c>
      <c r="G10" s="543">
        <f>IF(ISNUMBER(Datos!I10),Datos!I10," - ")</f>
        <v>169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2</v>
      </c>
      <c r="AD10" s="549"/>
      <c r="AE10" s="563"/>
      <c r="AF10" s="551">
        <f>IF(ISNUMBER(Datos!L10),Datos!L10,"-")</f>
        <v>170</v>
      </c>
      <c r="AG10" s="549"/>
      <c r="AH10" s="549"/>
      <c r="AI10" s="549"/>
      <c r="AJ10" s="549"/>
      <c r="AK10" s="549"/>
      <c r="AL10" s="550"/>
      <c r="AM10" s="766">
        <f>IF(ISNUMBER(Datos!R10),Datos!R10," - ")</f>
        <v>90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11</v>
      </c>
      <c r="BE10" s="693" t="str">
        <f>IF(ISNUMBER(Datos!BW10),Datos!BW10," - ")</f>
        <v xml:space="preserve"> - </v>
      </c>
      <c r="BF10" s="762" t="str">
        <f>IF(ISNUMBER(Datos!BX10),Datos!BX10," - ")</f>
        <v xml:space="preserve"> - </v>
      </c>
      <c r="BG10" s="763">
        <f>IF(ISNUMBER(Datos!K10/Datos!J10),Datos!K10/Datos!J10," - ")</f>
        <v>0.97058823529411764</v>
      </c>
      <c r="BH10" s="764">
        <f>IF(ISNUMBER(((Datos!L10/Datos!K10)*11)/factor_trimestre),((Datos!L10/Datos!K10)*11)/factor_trimestre," - ")</f>
        <v>15.454545454545455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102</v>
      </c>
      <c r="O11" s="549"/>
      <c r="P11" s="549"/>
      <c r="Q11" s="547">
        <f>IF(ISNUMBER(Datos!P11),Datos!P11,0)</f>
        <v>57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108</v>
      </c>
      <c r="AD11" s="549"/>
      <c r="AE11" s="563"/>
      <c r="AF11" s="551" t="str">
        <f>IF(ISNUMBER(IF(J_V="SI",Datos!L11,Datos!L11+Datos!AB11)-IF(Monitorios="SI",Datos!CD11,0)),
                          IF(J_V="SI",Datos!L11,Datos!L11+Datos!AB11)-IF(Monitorios="SI",Datos!CD11,0),
                          " - ")</f>
        <v xml:space="preserve"> - </v>
      </c>
      <c r="AG11" s="549"/>
      <c r="AH11" s="549">
        <f>IF(ISNUMBER(Datos!AB11),Datos!AB11,"-")</f>
        <v>398</v>
      </c>
      <c r="AI11" s="549"/>
      <c r="AJ11" s="549"/>
      <c r="AK11" s="549"/>
      <c r="AL11" s="550"/>
      <c r="AM11" s="766">
        <f>IF(ISNUMBER(Datos!R11),Datos!R11," - ")</f>
        <v>1085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190</v>
      </c>
      <c r="BD11" s="693">
        <f>IF(ISNUMBER(Datos!N11),Datos!N11," - ")</f>
        <v>164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0.8467583497053045</v>
      </c>
      <c r="BH11" s="764">
        <f>IF(ISNUMBER(((IF(J_V="SI",Datos!L11/Datos!K11,(Datos!L11+Datos!AB11)/(Datos!K11+Datos!AA11)))*11)/factor_trimestre),((IF(J_V="SI",Datos!L11/Datos!K11,(Datos!L11+Datos!AB11)/(Datos!K11+Datos!AA11)))*11)/factor_trimestre," - ")</f>
        <v>10.552204176334108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-4.4894366197183101E-2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169</v>
      </c>
      <c r="G14" s="1197">
        <f t="shared" si="1"/>
        <v>169</v>
      </c>
      <c r="H14" s="1198">
        <f t="shared" si="1"/>
        <v>0</v>
      </c>
      <c r="I14" s="1197">
        <f t="shared" si="1"/>
        <v>0</v>
      </c>
      <c r="J14" s="1164">
        <f t="shared" si="1"/>
        <v>0</v>
      </c>
      <c r="K14" s="1164">
        <f t="shared" si="1"/>
        <v>0</v>
      </c>
      <c r="L14" s="1198">
        <f t="shared" si="1"/>
        <v>0</v>
      </c>
      <c r="M14" s="1198">
        <f t="shared" si="1"/>
        <v>0</v>
      </c>
      <c r="N14" s="1198">
        <f t="shared" si="1"/>
        <v>194</v>
      </c>
      <c r="O14" s="1199">
        <f t="shared" si="1"/>
        <v>0</v>
      </c>
      <c r="P14" s="1199">
        <f t="shared" si="1"/>
        <v>0</v>
      </c>
      <c r="Q14" s="1198">
        <f t="shared" si="1"/>
        <v>699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533</v>
      </c>
      <c r="AD14" s="1198">
        <f t="shared" si="2"/>
        <v>0</v>
      </c>
      <c r="AE14" s="1198">
        <f t="shared" si="2"/>
        <v>0</v>
      </c>
      <c r="AF14" s="1198">
        <f t="shared" si="2"/>
        <v>170</v>
      </c>
      <c r="AG14" s="1198">
        <f t="shared" si="2"/>
        <v>0</v>
      </c>
      <c r="AH14" s="1198">
        <f t="shared" si="2"/>
        <v>492</v>
      </c>
      <c r="AI14" s="1198">
        <f t="shared" si="2"/>
        <v>0</v>
      </c>
      <c r="AJ14" s="1198">
        <f t="shared" si="2"/>
        <v>0</v>
      </c>
      <c r="AK14" s="1198">
        <f t="shared" si="2"/>
        <v>0</v>
      </c>
      <c r="AL14" s="1198">
        <f t="shared" si="2"/>
        <v>0</v>
      </c>
      <c r="AM14" s="1198">
        <f t="shared" si="2"/>
        <v>12770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784</v>
      </c>
      <c r="BD14" s="1198">
        <f t="shared" si="2"/>
        <v>1247</v>
      </c>
      <c r="BE14" s="1198">
        <f t="shared" si="2"/>
        <v>0</v>
      </c>
      <c r="BF14" s="1198">
        <f t="shared" si="2"/>
        <v>0</v>
      </c>
      <c r="BG14" s="1198">
        <f>IF(ISNUMBER(Datos!K14/Datos!J14),Datos!K14/Datos!J14," - ")</f>
        <v>0.92643752007709601</v>
      </c>
      <c r="BH14" s="1202">
        <f>IF(ISNUMBER(((Datos!L14/Datos!K14)*11)/factor_trimestre),((Datos!L14/Datos!K14)*11)/factor_trimestre," - ")</f>
        <v>8.5308599167822479</v>
      </c>
      <c r="BI14" s="1198">
        <f>IF(ISNUMBER('Resol  Asuntos'!D14/NºAsuntos!G14),'Resol  Asuntos'!D14/NºAsuntos!G14," - ")</f>
        <v>0.25225225225225223</v>
      </c>
      <c r="BJ14" s="1198" t="str">
        <f>IF(ISNUMBER(Datos!CI14/Datos!CJ14),Datos!CI14/Datos!CJ14," - ")</f>
        <v xml:space="preserve"> - </v>
      </c>
      <c r="BK14" s="1198">
        <f>SUBTOTAL(9,BK8:BK13)</f>
        <v>0</v>
      </c>
      <c r="BL14" s="1198">
        <f>IF(ISNUMBER((I14-AB14+L14)/(F14)),(I14-AB14+L14)/(F14)," - ")</f>
        <v>-0.19526627218934911</v>
      </c>
      <c r="BM14" s="1203">
        <f>SUBTOTAL(9,BM9:BM13)</f>
        <v>0.1922422465038931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2332</v>
      </c>
      <c r="G16" s="743">
        <f>IF(ISNUMBER(IF(D_I="SI",Datos!I16,Datos!I16+Datos!AC16)),IF(D_I="SI",Datos!I16,Datos!I16+Datos!AC16)," - ")</f>
        <v>2286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2778</v>
      </c>
      <c r="AC16" s="240">
        <f>IF(ISNUMBER(Datos!Q16),Datos!Q16," - ")</f>
        <v>114</v>
      </c>
      <c r="AD16" s="374"/>
      <c r="AE16" s="562"/>
      <c r="AF16" s="741">
        <f>IF(ISNUMBER(IF(D_I="SI",Datos!L16,Datos!L16+Datos!AF16)),IF(D_I="SI",Datos!L16,Datos!L16+Datos!AF16)," - ")</f>
        <v>2007</v>
      </c>
      <c r="AG16" s="374"/>
      <c r="AH16" s="374"/>
      <c r="AI16" s="374"/>
      <c r="AJ16" s="549"/>
      <c r="AK16" s="374"/>
      <c r="AL16" s="545"/>
      <c r="AM16" s="375">
        <f>IF(ISNUMBER(Datos!R16),Datos!R16," - ")</f>
        <v>421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340</v>
      </c>
      <c r="BD16" s="243">
        <f>IF(ISNUMBER(Datos!N16),Datos!N16," - ")</f>
        <v>1648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1.1324908275580921</v>
      </c>
      <c r="BH16" s="764">
        <f>IF(ISNUMBER(((IF(D_I="SI",Datos!L16/Datos!K16,(Datos!L16+Datos!AF16)/(Datos!K16+Datos!AE16)))*11)/factor_trimestre),((IF(D_I="SI",Datos!L16/Datos!K16,(Datos!L16+Datos!AF16)/(Datos!K16+Datos!AE16)))*11)/factor_trimestre," - ")</f>
        <v>2.1673866090712743</v>
      </c>
      <c r="BI16" s="266">
        <f>IF(ISNUMBER('Resol  Asuntos'!D16/NºAsuntos!G16),'Resol  Asuntos'!D16/NºAsuntos!G16," - ")</f>
        <v>0.12239020878329733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492</v>
      </c>
      <c r="AC18" s="547">
        <f>IF(ISNUMBER(Datos!Q18),Datos!Q18," - ")</f>
        <v>0</v>
      </c>
      <c r="AD18" s="549"/>
      <c r="AE18" s="562"/>
      <c r="AF18" s="551">
        <f>IF(ISNUMBER(Datos!L18),Datos!L18,"-")</f>
        <v>353</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336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1.5375000000000001</v>
      </c>
      <c r="BH18" s="764">
        <f>IF(ISNUMBER(((IF(D_I="SI",Datos!L18/Datos!K18,(Datos!L18+Datos!AF18)/(Datos!K18+Datos!AE18)))*11)/factor_trimestre),((IF(D_I="SI",Datos!L18/Datos!K18,(Datos!L18+Datos!AF18)/(Datos!K18+Datos!AE18)))*11)/factor_trimestre," - ")</f>
        <v>2.1524390243902443</v>
      </c>
      <c r="BI18" s="763">
        <f>IF(ISNUMBER('Resol  Asuntos'!D18/NºAsuntos!G18),'Resol  Asuntos'!D18/NºAsuntos!G18," - ")</f>
        <v>4.2682926829268296E-2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2332</v>
      </c>
      <c r="G23" s="1197">
        <f>SUBTOTAL(9,G16:G22)</f>
        <v>2809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3270</v>
      </c>
      <c r="AC23" s="1198">
        <f t="shared" si="5"/>
        <v>114</v>
      </c>
      <c r="AD23" s="1198">
        <f t="shared" si="5"/>
        <v>0</v>
      </c>
      <c r="AE23" s="1198">
        <f t="shared" si="5"/>
        <v>0</v>
      </c>
      <c r="AF23" s="1198">
        <f t="shared" si="5"/>
        <v>2360</v>
      </c>
      <c r="AG23" s="1198">
        <f t="shared" si="5"/>
        <v>0</v>
      </c>
      <c r="AH23" s="1198">
        <f t="shared" si="5"/>
        <v>0</v>
      </c>
      <c r="AI23" s="1198">
        <f t="shared" si="5"/>
        <v>0</v>
      </c>
      <c r="AJ23" s="1198">
        <f t="shared" si="5"/>
        <v>0</v>
      </c>
      <c r="AK23" s="1198">
        <f t="shared" si="5"/>
        <v>0</v>
      </c>
      <c r="AL23" s="1198">
        <f t="shared" si="5"/>
        <v>0</v>
      </c>
      <c r="AM23" s="1198">
        <f t="shared" si="5"/>
        <v>428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361</v>
      </c>
      <c r="BD23" s="1198">
        <f t="shared" si="5"/>
        <v>1984</v>
      </c>
      <c r="BE23" s="1198">
        <f t="shared" si="5"/>
        <v>0</v>
      </c>
      <c r="BF23" s="1198">
        <f t="shared" si="5"/>
        <v>0</v>
      </c>
      <c r="BG23" s="1198">
        <f>IF(ISNUMBER(Datos!K23/Datos!J23),Datos!K23/Datos!J23," - ")</f>
        <v>1.1792282726289218</v>
      </c>
      <c r="BH23" s="1202">
        <f>IF(ISNUMBER(((Datos!L23/Datos!K23)*11)/factor_trimestre),((Datos!L23/Datos!K23)*11)/factor_trimestre," - ")</f>
        <v>2.165137614678899</v>
      </c>
      <c r="BI23" s="1198">
        <f>SUBTOTAL(9,BI16:BI22)</f>
        <v>0.16507313561256562</v>
      </c>
      <c r="BJ23" s="1198">
        <f>SUBTOTAL(9,BJ16:BJ22)</f>
        <v>0</v>
      </c>
      <c r="BK23" s="1198">
        <f>SUBTOTAL(9,BK16:BK22)</f>
        <v>0</v>
      </c>
      <c r="BL23" s="1198">
        <f>IF(ISNUMBER((I23-AB23+L23)/(F23)),(I23-AB23+L23)/(F23)," - ")</f>
        <v>-1.402229845626072</v>
      </c>
      <c r="BM23" s="1205">
        <f>IF(ISNUMBER((Datos!P23-Datos!Q23)/(Datos!R23-Datos!P23+Datos!Q23)),(Datos!P23-Datos!Q23)/(Datos!R23-Datos!P23+Datos!Q23)," - ")</f>
        <v>8.9058524173027995E-2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2501</v>
      </c>
      <c r="G31" s="1117">
        <f t="shared" si="18"/>
        <v>2978</v>
      </c>
      <c r="H31" s="1119">
        <f t="shared" si="18"/>
        <v>0</v>
      </c>
      <c r="I31" s="1117">
        <f t="shared" si="18"/>
        <v>0</v>
      </c>
      <c r="J31" s="1119">
        <f t="shared" si="18"/>
        <v>0</v>
      </c>
      <c r="K31" s="1119">
        <f t="shared" si="18"/>
        <v>0</v>
      </c>
      <c r="L31" s="1180">
        <f t="shared" si="18"/>
        <v>0</v>
      </c>
      <c r="M31" s="1180">
        <f t="shared" si="18"/>
        <v>0</v>
      </c>
      <c r="N31" s="1180">
        <f t="shared" si="18"/>
        <v>194</v>
      </c>
      <c r="O31" s="1180">
        <f t="shared" si="18"/>
        <v>0</v>
      </c>
      <c r="P31" s="1180">
        <f t="shared" si="18"/>
        <v>0</v>
      </c>
      <c r="Q31" s="1119">
        <f t="shared" si="18"/>
        <v>848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3303</v>
      </c>
      <c r="AC31" s="1118">
        <f t="shared" si="19"/>
        <v>647</v>
      </c>
      <c r="AD31" s="1118">
        <f t="shared" si="19"/>
        <v>0</v>
      </c>
      <c r="AE31" s="1118">
        <f t="shared" si="19"/>
        <v>0</v>
      </c>
      <c r="AF31" s="1125">
        <f t="shared" si="19"/>
        <v>2530</v>
      </c>
      <c r="AG31" s="1125">
        <f t="shared" si="19"/>
        <v>0</v>
      </c>
      <c r="AH31" s="1125">
        <f t="shared" si="19"/>
        <v>492</v>
      </c>
      <c r="AI31" s="1125">
        <f t="shared" si="19"/>
        <v>0</v>
      </c>
      <c r="AJ31" s="1118">
        <f t="shared" si="19"/>
        <v>0</v>
      </c>
      <c r="AK31" s="1125">
        <f t="shared" si="19"/>
        <v>0</v>
      </c>
      <c r="AL31" s="1125">
        <f t="shared" si="19"/>
        <v>0</v>
      </c>
      <c r="AM31" s="1125">
        <f t="shared" si="19"/>
        <v>13198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1145</v>
      </c>
      <c r="BD31" s="1117">
        <f t="shared" si="19"/>
        <v>3231</v>
      </c>
      <c r="BE31" s="1117">
        <f t="shared" si="19"/>
        <v>0</v>
      </c>
      <c r="BF31" s="1127">
        <f t="shared" si="19"/>
        <v>0</v>
      </c>
      <c r="BG31" s="1223">
        <f>IF(ISNUMBER(Datos!K31/Datos!J31),Datos!K31/Datos!J31," - ")</f>
        <v>1.0455317703024125</v>
      </c>
      <c r="BH31" s="1223">
        <f>IF(ISNUMBER(((Datos!L31/Datos!K31)*11)/factor_trimestre),((Datos!L31/Datos!K31)*11)/factor_trimestre," - ")</f>
        <v>5.1483587910302235</v>
      </c>
      <c r="BI31" s="1103">
        <f>IF(ISNUMBER(Datos!J31/Datos!I31),Datos!J31/Datos!I31," - ")</f>
        <v>0.54601113172541749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-1.3206717313074769</v>
      </c>
      <c r="BM31" s="1188">
        <f>IF(ISNUMBER((Datos!P31-Datos!Q31+R31)/(Datos!R31-Datos!P31+Datos!Q31-R31)),(Datos!P31-Datos!Q31+R31)/(Datos!R31-Datos!P31+Datos!Q31-R31)," - ")</f>
        <v>1.5465107332461337E-2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850.85714285714289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2.5351332479369448</v>
      </c>
      <c r="F33" s="673">
        <f>IF(ISNUMBER(STDEV(F8:F30)),STDEV(F8:F30),"-")</f>
        <v>1163.0622797884328</v>
      </c>
      <c r="G33" s="674">
        <f>IF(ISNUMBER(STDEV(G8:G30)),STDEV(G8:G30),"-")</f>
        <v>1181.7517264032842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1438.763903991399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280.9582808097237</v>
      </c>
      <c r="BD33" s="673"/>
      <c r="BE33" s="673">
        <f>IF(ISNUMBER(STDEV(BE8:BE30)),STDEV(BE8:BE30),"-")</f>
        <v>0</v>
      </c>
      <c r="BF33" s="678">
        <f>IF(ISNUMBER(STDEV(BF8:BF30)),STDEV(BF8:BF30),"-")</f>
        <v>0</v>
      </c>
      <c r="BG33" s="1052">
        <f>IF(ISNUMBER(STDEV(BG8:BG30)),STDEV(BG8:BG30),"-")</f>
        <v>0.23348007861355474</v>
      </c>
      <c r="BH33" s="1058">
        <f>IF(ISNUMBER(STDEV(BH8:BH30)),STDEV(BH8:BH30),"-")</f>
        <v>5.1246654837174077</v>
      </c>
      <c r="BI33" s="273">
        <f>IF(ISNUMBER(STDEV(BI8:BI30)),STDEV(BI8:BI30),"-")</f>
        <v>8.7339422711761094E-2</v>
      </c>
      <c r="BJ33" s="244" t="str">
        <f>IF(ISNUMBER(BL33/BM33),BL33/BM33," - ")</f>
        <v xml:space="preserve"> - </v>
      </c>
      <c r="BK33" s="709"/>
      <c r="BL33" s="681">
        <f>IF(ISNUMBER(STDEV(BL8:BL30)),STDEV(BL8:BL30),"-")</f>
        <v>0.85345212742225451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Csu3Uh1DRDRNEouxu8mFnCeqCfOszBcnwqHrN6e7sTsz3vn2TAsMIVB9618QL2fkd3Rc+IE5I0HIGyZ/tK6Zg==" saltValue="svxCcWo6Tu8sbx+HmDxR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GUADALAJARA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1 al 1</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631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423</v>
      </c>
      <c r="AA9" s="551" t="str">
        <f>IF(ISNUMBER(IF(J_V="SI",Datos!L9,Datos!L9+Datos!AB9)-IF(Monitorios="SI",Datos!CD9,0)),
                          IF(J_V="SI",Datos!L9,Datos!L9+Datos!AB9)-IF(Monitorios="SI",Datos!CD9,0),
                          " - ")</f>
        <v xml:space="preserve"> - </v>
      </c>
      <c r="AB9" s="549"/>
      <c r="AC9" s="549"/>
      <c r="AD9" s="563"/>
      <c r="AE9" s="563">
        <f>IF(ISNUMBER(Datos!R9),Datos!R9," - ")</f>
        <v>11566</v>
      </c>
      <c r="AF9" s="693" t="str">
        <f>IF(ISNUMBER(Datos!BV9),Datos!BV9," - ")</f>
        <v xml:space="preserve"> - </v>
      </c>
      <c r="AG9" s="552" t="str">
        <f>IF(ISNUMBER(Datos!DV9),Datos!DV9," - ")</f>
        <v xml:space="preserve"> - </v>
      </c>
      <c r="AH9" s="553"/>
      <c r="AI9" s="554"/>
      <c r="AJ9" s="552">
        <f>IF(ISNUMBER(Datos!M9),Datos!M9," - ")</f>
        <v>581</v>
      </c>
      <c r="AK9" s="693">
        <f>IF(ISNUMBER(Datos!N9),Datos!N9," - ")</f>
        <v>1072</v>
      </c>
      <c r="AL9" s="693" t="str">
        <f>IF(ISNUMBER(Datos!BW9),Datos!BW9," - ")</f>
        <v xml:space="preserve"> - </v>
      </c>
      <c r="AM9" s="762" t="str">
        <f>IF(ISNUMBER(Datos!BX9),Datos!BX9," - ")</f>
        <v xml:space="preserve"> - </v>
      </c>
      <c r="AN9" s="763"/>
      <c r="AO9" s="764">
        <f>IF(ISNUMBER(((NºAsuntos!I9/NºAsuntos!G9)*11)/factor_trimestre),((NºAsuntos!I9/NºAsuntos!G9)*11)/factor_trimestre," - ")</f>
        <v>7.9504538577912252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1.8313083289311499E-2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169</v>
      </c>
      <c r="G10" s="552">
        <f>IF(ISNUMBER(Datos!I10),Datos!I10," - ")</f>
        <v>169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2</v>
      </c>
      <c r="AA10" s="551">
        <f>IF(ISNUMBER(Datos!L10),Datos!L10,"-")</f>
        <v>170</v>
      </c>
      <c r="AB10" s="549"/>
      <c r="AC10" s="549"/>
      <c r="AD10" s="563"/>
      <c r="AE10" s="563">
        <f>IF(ISNUMBER(Datos!R10),Datos!R10," - ")</f>
        <v>90</v>
      </c>
      <c r="AF10" s="693" t="str">
        <f>IF(ISNUMBER(Datos!BV10),Datos!BV10," - ")</f>
        <v xml:space="preserve"> - </v>
      </c>
      <c r="AG10" s="552" t="str">
        <f>IF(ISNUMBER(Datos!DV10),Datos!DV10," - ")</f>
        <v xml:space="preserve"> - </v>
      </c>
      <c r="AH10" s="553"/>
      <c r="AI10" s="554"/>
      <c r="AJ10" s="552">
        <f>IF(ISNUMBER(Datos!M10),Datos!M10," - ")</f>
        <v>13</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15.454545454545455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108</v>
      </c>
      <c r="AA11" s="551" t="str">
        <f>IF(ISNUMBER(IF(J_V="SI",Datos!L11,Datos!L11+Datos!AB11)-IF(Monitorios="SI",Datos!CD11,0)),
                          IF(J_V="SI",Datos!L11,Datos!L11+Datos!AB11)-IF(Monitorios="SI",Datos!CD11,0),
                          " - ")</f>
        <v xml:space="preserve"> - </v>
      </c>
      <c r="AB11" s="549"/>
      <c r="AC11" s="549"/>
      <c r="AD11" s="563"/>
      <c r="AE11" s="563">
        <f>IF(ISNUMBER(Datos!R11),Datos!R11," - ")</f>
        <v>1085</v>
      </c>
      <c r="AF11" s="693" t="str">
        <f>IF(ISNUMBER(Datos!BV11),Datos!BV11," - ")</f>
        <v xml:space="preserve"> - </v>
      </c>
      <c r="AG11" s="552" t="str">
        <f>IF(ISNUMBER(Datos!DV11),Datos!DV11," - ")</f>
        <v xml:space="preserve"> - </v>
      </c>
      <c r="AH11" s="553"/>
      <c r="AI11" s="554"/>
      <c r="AJ11" s="552">
        <f>IF(ISNUMBER(Datos!M11),Datos!M11," - ")</f>
        <v>190</v>
      </c>
      <c r="AK11" s="693">
        <f>IF(ISNUMBER(Datos!N11),Datos!N11," - ")</f>
        <v>164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10.552204176334108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-4.4894366197183101E-2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29</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169</v>
      </c>
      <c r="G14" s="1197">
        <f>SUBTOTAL(9,G8:G13)</f>
        <v>169</v>
      </c>
      <c r="H14" s="1211"/>
      <c r="I14" s="1197">
        <f t="shared" ref="I14:N14" si="1">SUBTOTAL(9,I8:I13)</f>
        <v>0</v>
      </c>
      <c r="J14" s="1164">
        <f t="shared" si="1"/>
        <v>0</v>
      </c>
      <c r="K14" s="1211">
        <f t="shared" si="1"/>
        <v>0</v>
      </c>
      <c r="L14" s="1211">
        <f t="shared" si="1"/>
        <v>0</v>
      </c>
      <c r="M14" s="1211">
        <f t="shared" si="1"/>
        <v>0</v>
      </c>
      <c r="N14" s="1211">
        <f t="shared" si="1"/>
        <v>699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533</v>
      </c>
      <c r="AA14" s="1199">
        <f t="shared" si="3"/>
        <v>170</v>
      </c>
      <c r="AB14" s="1199">
        <f t="shared" si="3"/>
        <v>0</v>
      </c>
      <c r="AC14" s="1199">
        <f t="shared" si="3"/>
        <v>0</v>
      </c>
      <c r="AD14" s="1199">
        <f t="shared" si="3"/>
        <v>0</v>
      </c>
      <c r="AE14" s="1199">
        <f t="shared" si="3"/>
        <v>12770</v>
      </c>
      <c r="AF14" s="1211">
        <f t="shared" si="3"/>
        <v>0</v>
      </c>
      <c r="AG14" s="1211">
        <f t="shared" si="3"/>
        <v>0</v>
      </c>
      <c r="AH14" s="1211">
        <f t="shared" si="3"/>
        <v>0</v>
      </c>
      <c r="AI14" s="1211">
        <f t="shared" si="3"/>
        <v>0</v>
      </c>
      <c r="AJ14" s="1211">
        <f t="shared" si="3"/>
        <v>784</v>
      </c>
      <c r="AK14" s="1211">
        <f t="shared" si="3"/>
        <v>1247</v>
      </c>
      <c r="AL14" s="1211">
        <f t="shared" si="3"/>
        <v>0</v>
      </c>
      <c r="AM14" s="1211">
        <f t="shared" si="3"/>
        <v>0</v>
      </c>
      <c r="AN14" s="1211">
        <f t="shared" si="3"/>
        <v>0</v>
      </c>
      <c r="AO14" s="1203">
        <f>IF(ISNUMBER(((NºAsuntos!I14/NºAsuntos!G14)*11)/factor_trimestre),((NºAsuntos!I14/NºAsuntos!G14)*11)/factor_trimestre," - ")</f>
        <v>8.3909266409266401</v>
      </c>
      <c r="AP14" s="1213" t="str">
        <f>IF(ISNUMBER(Datos!CI14/Datos!CJ14),Datos!CI14/Datos!CJ14," - ")</f>
        <v xml:space="preserve"> - </v>
      </c>
      <c r="AQ14" s="1236">
        <f t="shared" ref="AQ14:AV14" si="4">SUBTOTAL(9,AQ9:AQ13)</f>
        <v>0</v>
      </c>
      <c r="AR14" s="1236">
        <f t="shared" si="4"/>
        <v>0.1922422465038931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2332</v>
      </c>
      <c r="G16" s="552">
        <f>IF(ISNUMBER(IF(D_I="SI",Datos!I16,Datos!I16+Datos!AC16)),IF(D_I="SI",Datos!I16,Datos!I16+Datos!AC16)," - ")</f>
        <v>2286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2778</v>
      </c>
      <c r="Z16" s="805">
        <f>IF(ISNUMBER(Datos!Q16),Datos!Q16," - ")</f>
        <v>114</v>
      </c>
      <c r="AA16" s="551">
        <f>IF(ISNUMBER(IF(D_I="SI",Datos!L16,Datos!L16+Datos!AF16)),IF(D_I="SI",Datos!L16,Datos!L16+Datos!AF16)," - ")</f>
        <v>2007</v>
      </c>
      <c r="AB16" s="549"/>
      <c r="AC16" s="549"/>
      <c r="AD16" s="563"/>
      <c r="AE16" s="563">
        <f>IF(ISNUMBER(Datos!R16),Datos!R16," - ")</f>
        <v>421</v>
      </c>
      <c r="AF16" s="693" t="str">
        <f>IF(ISNUMBER(Datos!BV16),Datos!BV16," - ")</f>
        <v xml:space="preserve"> - </v>
      </c>
      <c r="AG16" s="552"/>
      <c r="AH16" s="553"/>
      <c r="AI16" s="554"/>
      <c r="AJ16" s="552">
        <f>IF(ISNUMBER(Datos!M16),Datos!M16," - ")</f>
        <v>340</v>
      </c>
      <c r="AK16" s="693">
        <f>IF(ISNUMBER(Datos!N16),Datos!N16," - ")</f>
        <v>1648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2.1673866090712743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492</v>
      </c>
      <c r="Z18" s="805">
        <f>IF(ISNUMBER(Datos!Q18),Datos!Q18," - ")</f>
        <v>0</v>
      </c>
      <c r="AA18" s="551">
        <f>IF(ISNUMBER(Datos!L18),Datos!L18,"-")</f>
        <v>353</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21</v>
      </c>
      <c r="AK18" s="693">
        <f>IF(ISNUMBER(Datos!N18),Datos!N18," - ")</f>
        <v>336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2.1524390243902443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2332</v>
      </c>
      <c r="G23" s="1197">
        <f>SUBTOTAL(9,G16:G22)</f>
        <v>2809</v>
      </c>
      <c r="H23" s="1240">
        <f>SUBTOTAL(9,H16:H22)</f>
        <v>0</v>
      </c>
      <c r="I23" s="1217">
        <f>SUBTOTAL(9,I16:I22)</f>
        <v>0</v>
      </c>
      <c r="J23" s="1164">
        <f>SUBTOTAL(9,J15:J22)</f>
        <v>0</v>
      </c>
      <c r="K23" s="1240">
        <f t="shared" ref="K23:S23" si="5">SUBTOTAL(9,K16:K22)</f>
        <v>0</v>
      </c>
      <c r="L23" s="1240">
        <f t="shared" si="5"/>
        <v>0</v>
      </c>
      <c r="M23" s="1240">
        <f t="shared" si="5"/>
        <v>0</v>
      </c>
      <c r="N23" s="1240">
        <f t="shared" si="5"/>
        <v>149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3270</v>
      </c>
      <c r="Z23" s="1240">
        <f t="shared" si="6"/>
        <v>114</v>
      </c>
      <c r="AA23" s="1240">
        <f t="shared" si="6"/>
        <v>2360</v>
      </c>
      <c r="AB23" s="1240">
        <f t="shared" si="6"/>
        <v>0</v>
      </c>
      <c r="AC23" s="1240">
        <f t="shared" si="6"/>
        <v>0</v>
      </c>
      <c r="AD23" s="1240">
        <f t="shared" si="6"/>
        <v>0</v>
      </c>
      <c r="AE23" s="1240">
        <f t="shared" si="6"/>
        <v>428</v>
      </c>
      <c r="AF23" s="1240">
        <f t="shared" si="6"/>
        <v>0</v>
      </c>
      <c r="AG23" s="1240">
        <f t="shared" si="6"/>
        <v>0</v>
      </c>
      <c r="AH23" s="1240">
        <f t="shared" si="6"/>
        <v>0</v>
      </c>
      <c r="AI23" s="1240">
        <f t="shared" si="6"/>
        <v>0</v>
      </c>
      <c r="AJ23" s="1240">
        <f t="shared" si="6"/>
        <v>361</v>
      </c>
      <c r="AK23" s="1240">
        <f t="shared" si="6"/>
        <v>1984</v>
      </c>
      <c r="AL23" s="1240">
        <f t="shared" si="6"/>
        <v>0</v>
      </c>
      <c r="AM23" s="1240">
        <f t="shared" si="6"/>
        <v>0</v>
      </c>
      <c r="AN23" s="1240">
        <f t="shared" si="6"/>
        <v>0</v>
      </c>
      <c r="AO23" s="1242">
        <f>IF(ISNUMBER(((NºAsuntos!I23/NºAsuntos!G23)*11)/factor_trimestre),((NºAsuntos!I23/NºAsuntos!G23)*11)/factor_trimestre," - ")</f>
        <v>2.165137614678899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2501</v>
      </c>
      <c r="G31" s="1117">
        <f t="shared" si="12"/>
        <v>2978</v>
      </c>
      <c r="H31" s="1118">
        <f t="shared" si="12"/>
        <v>0</v>
      </c>
      <c r="I31" s="1117">
        <f t="shared" si="12"/>
        <v>0</v>
      </c>
      <c r="J31" s="1119">
        <f t="shared" si="12"/>
        <v>0</v>
      </c>
      <c r="K31" s="1117">
        <f t="shared" si="12"/>
        <v>0</v>
      </c>
      <c r="L31" s="1120">
        <f t="shared" si="12"/>
        <v>0</v>
      </c>
      <c r="M31" s="1117">
        <f t="shared" si="12"/>
        <v>0</v>
      </c>
      <c r="N31" s="1118">
        <f t="shared" si="12"/>
        <v>848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3303</v>
      </c>
      <c r="Z31" s="1124">
        <f t="shared" si="13"/>
        <v>647</v>
      </c>
      <c r="AA31" s="1125">
        <f t="shared" si="13"/>
        <v>2530</v>
      </c>
      <c r="AB31" s="1125">
        <f t="shared" si="13"/>
        <v>0</v>
      </c>
      <c r="AC31" s="1125">
        <f t="shared" si="13"/>
        <v>0</v>
      </c>
      <c r="AD31" s="1126">
        <f t="shared" si="13"/>
        <v>0</v>
      </c>
      <c r="AE31" s="1126">
        <f t="shared" si="13"/>
        <v>13198</v>
      </c>
      <c r="AF31" s="1127">
        <f t="shared" si="13"/>
        <v>0</v>
      </c>
      <c r="AG31" s="1128">
        <f t="shared" si="13"/>
        <v>0</v>
      </c>
      <c r="AH31" s="1129">
        <f t="shared" si="13"/>
        <v>0</v>
      </c>
      <c r="AI31" s="1127">
        <f t="shared" si="13"/>
        <v>0</v>
      </c>
      <c r="AJ31" s="1117">
        <f t="shared" si="13"/>
        <v>1145</v>
      </c>
      <c r="AK31" s="1117">
        <f t="shared" si="13"/>
        <v>3231</v>
      </c>
      <c r="AL31" s="1117">
        <f t="shared" si="13"/>
        <v>0</v>
      </c>
      <c r="AM31" s="1130">
        <f t="shared" si="13"/>
        <v>0</v>
      </c>
      <c r="AN31" s="1120">
        <f>IF(ISNUMBER(Datos!K31/Datos!J31),Datos!K31/Datos!J31," - ")</f>
        <v>1.0455317703024125</v>
      </c>
      <c r="AO31" s="1120">
        <f>IF(ISNUMBER(FIND("06",Criterios!A8,1)),(IF(ISNUMBER(((Datos!R31/Datos!Q31)*11)/factor_trimestre),((Datos!R31/Datos!Q31)*11)/factor_trimestre," - ")),(IF(ISNUMBER(((Datos!L31/Datos!K31)*11)/factor_trimestre),((Datos!L31/Datos!K31)*11)/factor_trimestre," - ")))</f>
        <v>5.1483587910302235</v>
      </c>
      <c r="AP31" s="1131" t="str">
        <f>IF(ISNUMBER(Datos!CI31/Datos!CJ31),Datos!CI31/Datos!CJ31," - ")</f>
        <v xml:space="preserve"> - </v>
      </c>
      <c r="AQ31" s="1131">
        <f>IF(OR(ISNUMBER(FIND("01",Criterios!A8,1)),ISNUMBER(FIND("02",Criterios!A8,1)),ISNUMBER(FIND("03",Criterios!A8,1)),ISNUMBER(FIND("04",Criterios!A8,1))),(J31-Y31+K31)/(F31-K31),(I31-Y31+K31)/(F31-K31))</f>
        <v>-1.3206717313074769</v>
      </c>
      <c r="AR31" s="1131">
        <f>IF(ISNUMBER((Datos!P31-Datos!Q31+O31)/(Datos!R31-Datos!P31+Datos!Q31-O31)),(Datos!P31-Datos!Q31+O31)/(Datos!R31-Datos!P31+Datos!Q31-O31)," - ")</f>
        <v>1.5465107332461337E-2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850.85714285714289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1163.0622797884328</v>
      </c>
      <c r="G33" s="674">
        <f>IF(ISNUMBER(STDEV(G8:G30)),STDEV(G8:G30),"-")</f>
        <v>1181.7517264032842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280.9582808097237</v>
      </c>
      <c r="AK33" s="276"/>
      <c r="AL33" s="276">
        <f>IF(ISNUMBER(STDEV(AL8:AL30)),STDEV(AL8:AL30),"-")</f>
        <v>0</v>
      </c>
      <c r="AM33" s="278">
        <f>IF(ISNUMBER(STDEV(AM8:AM30)),STDEV(AM8:AM30),"-")</f>
        <v>0</v>
      </c>
      <c r="AN33" s="660">
        <f>IF(ISNUMBER(STDEV(AN8:AN30)),STDEV(AN8:AN30),"-")</f>
        <v>0</v>
      </c>
      <c r="AO33" s="661">
        <f>IF(ISNUMBER(STDEV(AO8:AO30)),STDEV(AO8:AO30),"-")</f>
        <v>5.1179495732234876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ILoHHoCpj94Pbul0p1V0tIdCCynXMF1i7Zu+rUJqpcWYUJepXgyH9Ez/tn/3z7SuJA0rHfgpY3l1Yhlpw1TBw==" saltValue="dt1uDnnPQ+RNb8+gJzkj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IqXQStVRUyE+F6opqS2QlU4ztG1gzj+x+S8eqcHD8XPBwk0rbyElSKKJAH0c3aTE2bM96tdNdkBxEYoQY5iLtA==" saltValue="FwOzgQWa/ubjFqNo0EAB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RYXX2dCliwcvjzyY5/xT7BZWg1y6ACnqrJ7D7/vgwWctSDBbi7nHT+SWe4CLsBMHbDSKuLyc4TuXx6NaXvB/g==" saltValue="IaXE2j2pbHqj36qnd2Nk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GUADALAJARA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1 al 1</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0.25225225225225223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0.17836927813714709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4hcDoN2Lv0Hs5xRTsFaVkyVuFAuyAuBmY8kb3H62FKn7P0j7ImO6wKDeKxbx1WYh8jzDFg8szxomOrT6hHZ2g==" saltValue="dHXrsA2I1G3prTzKIDQT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xa7/I47nXJJt4KeA2gNo0VLeyLkvX8zvlJr6dJl5l/OwtibddYfE82wxo4rbZ722gg4i00b0gmLN6boQMlTAXw==" saltValue="Kxj26vzC4US0OnZegW8S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GUADALAJARA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6924</v>
      </c>
      <c r="D9" s="452">
        <f>IF(ISNUMBER(C9/Datos!BH9),C9/Datos!BH9," - ")</f>
        <v>1154</v>
      </c>
      <c r="E9" s="451">
        <f>IF(ISNUMBER(IF(J_V="SI",Datos!J9,Datos!J9+Datos!Z9)),IF(J_V="SI",Datos!J9,Datos!J9+Datos!Z9)," - ")</f>
        <v>2764</v>
      </c>
      <c r="F9" s="452">
        <f>IF(ISNUMBER(E9/B9),E9/B9," - ")</f>
        <v>394.85714285714283</v>
      </c>
      <c r="G9" s="451">
        <f>IF(ISNUMBER(IF(J_V="SI",Datos!K9,Datos!K9+Datos!AA9)),IF(J_V="SI",Datos!K9,Datos!K9+Datos!AA9)," - ")</f>
        <v>2644</v>
      </c>
      <c r="H9" s="452">
        <f>IF(ISNUMBER(G9/B9),G9/B9," - ")</f>
        <v>377.71428571428572</v>
      </c>
      <c r="I9" s="451">
        <f>IF(ISNUMBER(IF(J_V="SI",Datos!L9,Datos!L9+Datos!AB9)),IF(J_V="SI",Datos!L9,Datos!L9+Datos!AB9)," - ")</f>
        <v>7007</v>
      </c>
      <c r="J9" s="452">
        <f>IF(ISNUMBER(I9/B9),I9/B9," - ")</f>
        <v>1001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169</v>
      </c>
      <c r="D10" s="452">
        <f>IF(ISNUMBER(C10/Datos!BH10),C10/Datos!BH10," - ")</f>
        <v>169</v>
      </c>
      <c r="E10" s="451">
        <f>IF(ISNUMBER(Datos!J10),Datos!J10," - ")</f>
        <v>34</v>
      </c>
      <c r="F10" s="452">
        <f>IF(ISNUMBER(E10/B10),E10/B10," - ")</f>
        <v>34</v>
      </c>
      <c r="G10" s="451">
        <f>IF(ISNUMBER(Datos!K10),Datos!K10," - ")</f>
        <v>33</v>
      </c>
      <c r="H10" s="452">
        <f>IF(ISNUMBER(G10/B10),G10/B10," - ")</f>
        <v>33</v>
      </c>
      <c r="I10" s="451">
        <f>IF(ISNUMBER(Datos!L10),Datos!L10," - ")</f>
        <v>170</v>
      </c>
      <c r="J10" s="452">
        <f>IF(ISNUMBER(I10/B10),I10/B10," - ")</f>
        <v>170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1437</v>
      </c>
      <c r="D11" s="452">
        <f>IF(ISNUMBER(C11/Datos!BH11),C11/Datos!BH11," - ")</f>
        <v>1437</v>
      </c>
      <c r="E11" s="451">
        <f>IF(ISNUMBER(IF(J_V="SI",Datos!J11,Datos!J11+Datos!Z11)),IF(J_V="SI",Datos!J11,Datos!J11+Datos!Z11)," - ")</f>
        <v>509</v>
      </c>
      <c r="F11" s="452">
        <f>IF(ISNUMBER(E11/B11),E11/B11," - ")</f>
        <v>509</v>
      </c>
      <c r="G11" s="451">
        <f>IF(ISNUMBER(IF(J_V="SI",Datos!K11,Datos!K11+Datos!AA11)),IF(J_V="SI",Datos!K11,Datos!K11+Datos!AA11)," - ")</f>
        <v>431</v>
      </c>
      <c r="H11" s="452">
        <f>IF(ISNUMBER(G11/B11),G11/B11," - ")</f>
        <v>431</v>
      </c>
      <c r="I11" s="451">
        <f>IF(ISNUMBER(IF(J_V="SI",Datos!L11,Datos!L11+Datos!AB11)),IF(J_V="SI",Datos!L11,Datos!L11+Datos!AB11)," - ")</f>
        <v>1516</v>
      </c>
      <c r="J11" s="452">
        <f>IF(ISNUMBER(I11/B11),I11/B11," - ")</f>
        <v>1516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8530</v>
      </c>
      <c r="D14" s="1147" t="str">
        <f>IF(ISNUMBER(C14/Datos!BI14),C14/Datos!BI14," - ")</f>
        <v xml:space="preserve"> - </v>
      </c>
      <c r="E14" s="1146">
        <f>SUBTOTAL(9,E8:E13)</f>
        <v>3307</v>
      </c>
      <c r="F14" s="1147">
        <f>IF(ISNUMBER(E14/B14),E14/B14," - ")</f>
        <v>413.375</v>
      </c>
      <c r="G14" s="1146">
        <f>SUBTOTAL(9,G8:G13)</f>
        <v>3108</v>
      </c>
      <c r="H14" s="1147">
        <f>IF(ISNUMBER(G14/B14),G14/B14," - ")</f>
        <v>388.5</v>
      </c>
      <c r="I14" s="1146">
        <f>SUBTOTAL(9,I8:I13)</f>
        <v>8693</v>
      </c>
      <c r="J14" s="1147">
        <f>IF(ISNUMBER(I14/B14),I14/B14," - ")</f>
        <v>1086.625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2286</v>
      </c>
      <c r="D16" s="452">
        <f>IF(ISNUMBER(C16/Datos!BH16),C16/Datos!BH16," - ")</f>
        <v>571.5</v>
      </c>
      <c r="E16" s="451">
        <f>IF(ISNUMBER(IF(D_I="SI",Datos!J16,Datos!J16+Datos!AD16)),IF(D_I="SI",Datos!J16,Datos!J16+Datos!AD16)," - ")</f>
        <v>2453</v>
      </c>
      <c r="F16" s="452">
        <f>IF(ISNUMBER(E16/B16),E16/B16," - ")</f>
        <v>613.25</v>
      </c>
      <c r="G16" s="451">
        <f>IF(ISNUMBER(IF(D_I="SI",Datos!K16,Datos!K16+Datos!AE16)),IF(D_I="SI",Datos!K16,Datos!K16+Datos!AE16)," - ")</f>
        <v>2778</v>
      </c>
      <c r="H16" s="452">
        <f>IF(ISNUMBER(G16/B16),G16/B16," - ")</f>
        <v>694.5</v>
      </c>
      <c r="I16" s="451">
        <f>IF(ISNUMBER(IF(D_I="SI",Datos!L16,Datos!L16+Datos!AF16)),IF(D_I="SI",Datos!L16,Datos!L16+Datos!AF16)," - ")</f>
        <v>2007</v>
      </c>
      <c r="J16" s="452">
        <f>IF(ISNUMBER(I16/B16),I16/B16," - ")</f>
        <v>501.75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523</v>
      </c>
      <c r="D18" s="452">
        <f>IF(ISNUMBER(C18/Datos!BH18),C18/Datos!BH18," - ")</f>
        <v>523</v>
      </c>
      <c r="E18" s="451">
        <f>IF(ISNUMBER(IF(D_I="SI",Datos!J18,Datos!J18+Datos!AD18)),IF(D_I="SI",Datos!J18,Datos!J18+Datos!AD18)," - ")</f>
        <v>320</v>
      </c>
      <c r="F18" s="452">
        <f>IF(ISNUMBER(E18/B18),E18/B18," - ")</f>
        <v>320</v>
      </c>
      <c r="G18" s="451">
        <f>IF(ISNUMBER(IF(D_I="SI",Datos!K18,Datos!K18+Datos!AE18)),IF(D_I="SI",Datos!K18,Datos!K18+Datos!AE18)," - ")</f>
        <v>492</v>
      </c>
      <c r="H18" s="452">
        <f>IF(ISNUMBER(G18/B18),G18/B18," - ")</f>
        <v>492</v>
      </c>
      <c r="I18" s="451">
        <f>IF(ISNUMBER(IF(D_I="SI",Datos!L18,Datos!L18+Datos!AF18)),IF(D_I="SI",Datos!L18,Datos!L18+Datos!AF18)," - ")</f>
        <v>353</v>
      </c>
      <c r="J18" s="452">
        <f>IF(ISNUMBER(I18/B18),I18/B18," - ")</f>
        <v>353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2809</v>
      </c>
      <c r="D23" s="1147" t="str">
        <f>IF(ISNUMBER(C23/Datos!BI23),C23/Datos!BI23," - ")</f>
        <v xml:space="preserve"> - </v>
      </c>
      <c r="E23" s="1146">
        <f>SUBTOTAL(9,E15:E22)</f>
        <v>2773</v>
      </c>
      <c r="F23" s="1147">
        <f>IF(ISNUMBER(E23/B23),E23/B23," - ")</f>
        <v>693.25</v>
      </c>
      <c r="G23" s="1146">
        <f>SUBTOTAL(9,G15:G22)</f>
        <v>3270</v>
      </c>
      <c r="H23" s="1147">
        <f>IF(ISNUMBER(G23/B23),G23/B23," - ")</f>
        <v>817.5</v>
      </c>
      <c r="I23" s="1146">
        <f>SUBTOTAL(9,I15:I22)</f>
        <v>2360</v>
      </c>
      <c r="J23" s="1147">
        <f>IF(ISNUMBER(I23/B23),I23/B23," - ")</f>
        <v>590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11339</v>
      </c>
      <c r="D31" s="1085" t="str">
        <f>IF(ISNUMBER(C31/Datos!BI31),C31/Datos!BI31," - ")</f>
        <v xml:space="preserve"> - </v>
      </c>
      <c r="E31" s="1084">
        <f>SUBTOTAL(9,E9:E30)</f>
        <v>6080</v>
      </c>
      <c r="F31" s="1085">
        <f>IF(ISNUMBER(E31/B31),E31/B31," - ")</f>
        <v>506.66666666666669</v>
      </c>
      <c r="G31" s="1084">
        <f>SUBTOTAL(9,G9:G30)</f>
        <v>6378</v>
      </c>
      <c r="H31" s="1085">
        <f>IF(ISNUMBER(G31/B31),G31/B31," - ")</f>
        <v>531.5</v>
      </c>
      <c r="I31" s="1084">
        <f>SUBTOTAL(9,I9:I30)</f>
        <v>11053</v>
      </c>
      <c r="J31" s="1085">
        <f>IF(ISNUMBER(I31/B31),I31/B31," - ")</f>
        <v>921.08333333333337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z2ol7Ns2j/EqCwJqQmRwUOJVnTHb34H6PIes4KeVNqLJfnFhy2Jl92CK+K3seDiSG2Zo3RujXxvESLwNiM7gg==" saltValue="JNS78JfrcaaXDiE9lRb2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GUADALAJARA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1 al 1</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169</v>
      </c>
      <c r="G10" s="906">
        <f>IF(ISNUMBER(Datos!I10),Datos!I10," - ")</f>
        <v>169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170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15.454545454545455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169</v>
      </c>
      <c r="G14" s="1256">
        <f t="shared" si="0"/>
        <v>169</v>
      </c>
      <c r="H14" s="1256">
        <f t="shared" si="0"/>
        <v>0</v>
      </c>
      <c r="I14" s="1258">
        <f t="shared" si="0"/>
        <v>0</v>
      </c>
      <c r="J14" s="1257">
        <f t="shared" si="0"/>
        <v>0</v>
      </c>
      <c r="K14" s="1257">
        <f t="shared" si="0"/>
        <v>0</v>
      </c>
      <c r="L14" s="1259">
        <f t="shared" si="0"/>
        <v>0</v>
      </c>
      <c r="M14" s="1259">
        <f t="shared" si="0"/>
        <v>0</v>
      </c>
      <c r="N14" s="1257">
        <f t="shared" si="0"/>
        <v>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0</v>
      </c>
      <c r="AE14" s="1257">
        <f t="shared" si="1"/>
        <v>0</v>
      </c>
      <c r="AF14" s="1257">
        <f t="shared" si="1"/>
        <v>170</v>
      </c>
      <c r="AG14" s="1257">
        <f t="shared" si="1"/>
        <v>0</v>
      </c>
      <c r="AH14" s="1257">
        <f t="shared" si="1"/>
        <v>29</v>
      </c>
      <c r="AI14" s="1257">
        <f t="shared" si="1"/>
        <v>0</v>
      </c>
      <c r="AJ14" s="1257">
        <f t="shared" si="1"/>
        <v>0</v>
      </c>
      <c r="AK14" s="1257">
        <f t="shared" si="1"/>
        <v>0</v>
      </c>
      <c r="AL14" s="1257">
        <f t="shared" si="1"/>
        <v>13</v>
      </c>
      <c r="AM14" s="1257">
        <f t="shared" si="1"/>
        <v>11</v>
      </c>
      <c r="AN14" s="1257">
        <f t="shared" si="1"/>
        <v>0</v>
      </c>
      <c r="AO14" s="1257">
        <f t="shared" si="1"/>
        <v>0</v>
      </c>
      <c r="AP14" s="1262">
        <f>IF(ISNUMBER(((Datos!L14/Datos!K14)*11)/factor_trimestre),((Datos!L14/Datos!K14)*11)/factor_trimestre," - ")</f>
        <v>8.5308599167822479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-0.19526627218934911</v>
      </c>
      <c r="AU14" s="1257" t="str">
        <f>IF(ISNUMBER((DatosP!#REF!-DatosP!#REF!+DatosP!#REF!)/(DatosP!#REF!+DatosP!#REF!-DatosP!#REF!-DatosP!#REF!)),(DatosP!#REF!-DatosP!#REF!+DatosP!#REF!)/(DatosP!#REF!+DatosP!#REF!-DatosP!#REF!-DatosP!#REF!)," - ")</f>
        <v xml:space="preserve"> - </v>
      </c>
      <c r="AV14" s="1263">
        <f>SUBTOTAL(9,AV9:AV13)</f>
        <v>0.16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2.165137614678899</v>
      </c>
      <c r="AQ23" s="1262">
        <f>IF(ISNUMBER(((Datos!M23/Datos!L23)*11)/factor_trimestre),((Datos!M23/Datos!L23)*11)/factor_trimestre," - ")</f>
        <v>0.45889830508474577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8.9058524173027995E-2</v>
      </c>
      <c r="AW23" s="1265">
        <f>IF(ISNUMBER((Datos!Q23-Datos!R23)/(Datos!S23-Datos!Q23+Datos!R23)),(Datos!Q23-Datos!R23)/(Datos!S23-Datos!Q23+Datos!R23)," - ")</f>
        <v>-9.0515998846929957E-2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169</v>
      </c>
      <c r="G31" s="1278">
        <f t="shared" si="8"/>
        <v>169</v>
      </c>
      <c r="H31" s="1278">
        <f t="shared" si="8"/>
        <v>0</v>
      </c>
      <c r="I31" s="1279">
        <f t="shared" si="8"/>
        <v>0</v>
      </c>
      <c r="J31" s="1280">
        <f t="shared" si="8"/>
        <v>0</v>
      </c>
      <c r="K31" s="1280">
        <f t="shared" si="8"/>
        <v>0</v>
      </c>
      <c r="L31" s="1280">
        <f t="shared" si="8"/>
        <v>0</v>
      </c>
      <c r="M31" s="1280">
        <f t="shared" si="8"/>
        <v>0</v>
      </c>
      <c r="N31" s="1279">
        <f t="shared" si="8"/>
        <v>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0</v>
      </c>
      <c r="AE31" s="1284">
        <f t="shared" si="9"/>
        <v>0</v>
      </c>
      <c r="AF31" s="1285">
        <f t="shared" si="9"/>
        <v>170</v>
      </c>
      <c r="AG31" s="1285">
        <f t="shared" si="9"/>
        <v>0</v>
      </c>
      <c r="AH31" s="1285">
        <f t="shared" si="9"/>
        <v>29</v>
      </c>
      <c r="AI31" s="1285">
        <f t="shared" si="9"/>
        <v>0</v>
      </c>
      <c r="AJ31" s="1286">
        <f t="shared" si="9"/>
        <v>0</v>
      </c>
      <c r="AK31" s="1286">
        <f t="shared" si="9"/>
        <v>0</v>
      </c>
      <c r="AL31" s="1278">
        <f t="shared" si="9"/>
        <v>13</v>
      </c>
      <c r="AM31" s="1278">
        <f t="shared" si="9"/>
        <v>11</v>
      </c>
      <c r="AN31" s="1278">
        <f t="shared" si="9"/>
        <v>0</v>
      </c>
      <c r="AO31" s="1278">
        <f t="shared" si="9"/>
        <v>0</v>
      </c>
      <c r="AP31" s="1278">
        <f>IF(ISNUMBER(((Datos!L31/Datos!K31)*11)/factor_trimestre),((Datos!L31/Datos!K31)*11)/factor_trimestre," - ")</f>
        <v>5.1483587910302235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-0.19526627218934911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1.5465107332461337E-2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67.599999999999994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3.2702361450580972</v>
      </c>
      <c r="F33" s="1006">
        <f>IF(ISNUMBER(STDEV(F8:F30)),STDEV(F8:F30),"-")</f>
        <v>92.565112218373073</v>
      </c>
      <c r="G33" s="1007">
        <f>IF(ISNUMBER(STDEV(G8:G30)),STDEV(G8:G30),"-")</f>
        <v>92.565112218373073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6.7131711334261892</v>
      </c>
      <c r="AM33" s="1006"/>
      <c r="AN33" s="1006">
        <f>IF(ISNUMBER(STDEV(AN8:AN30)),STDEV(AN8:AN30),"-")</f>
        <v>0</v>
      </c>
      <c r="AO33" s="1012">
        <f>IF(ISNUMBER(STDEV(AO8:AO30)),STDEV(AO8:AO30),"-")</f>
        <v>0</v>
      </c>
      <c r="AP33" s="1065">
        <f>IF(ISNUMBER(STDEV(AP8:AP30)),STDEV(AP8:AP30),"-")</f>
        <v>6.6466558331694667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24wIo2FaG8u0oZ2hcUNycze20+SrAAcdHg4UBcAiaslBgBxfH5OI0TQSP/TGioqLc3fN56xg9fAR/ToVoKv1Qw==" saltValue="TZrW8Xs5JHCTaoz4L9Kb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276</v>
      </c>
      <c r="B3" s="439" t="str">
        <f>Criterios!A10 &amp;"  "&amp;Criterios!B10</f>
        <v>Provincias  GUADALAJARA</v>
      </c>
      <c r="C3" s="463"/>
      <c r="F3" s="436"/>
      <c r="G3" s="436"/>
      <c r="H3" s="436"/>
    </row>
    <row r="4" spans="1:15" ht="13.5" thickBot="1">
      <c r="A4" s="436"/>
      <c r="B4" s="439" t="str">
        <f>Criterios!A11 &amp;"  "&amp;Criterios!B11</f>
        <v>Resumenes por Partidos Judiciales  GUADALAJARA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1.1666666666666667</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gpoiDQyM4ePU86h8AXDlsI9pOpAazBwCafZxsK8qvp8VINqkW2Ncdm35307k+ckS56lDUsF0Dt7I15bqeJIGw==" saltValue="2AFvT0z3HX4rh3h+IniO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GUADALAJARA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581</v>
      </c>
      <c r="E9" s="452">
        <f t="shared" ref="E9:E14" si="0">IF(ISNUMBER(D9/B9),D9/B9," - ")</f>
        <v>83</v>
      </c>
      <c r="F9" s="451">
        <f>IF(ISNUMBER(Datos!N9),Datos!N9," - ")</f>
        <v>1072</v>
      </c>
      <c r="G9" s="452">
        <f t="shared" ref="G9:G14" si="1">IF(ISNUMBER(F9/B9),F9/B9," - ")</f>
        <v>153.14285714285714</v>
      </c>
      <c r="H9" s="451">
        <f>IF(ISNUMBER(Datos!O9),Datos!O9," - ")</f>
        <v>1385</v>
      </c>
      <c r="I9" s="452">
        <f>IF(ISNUMBER(H9/B9),H9/B9," - ")</f>
        <v>197.85714285714286</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11</v>
      </c>
      <c r="G10" s="452">
        <f>IF(ISNUMBER(F10/B10),F10/B10," - ")</f>
        <v>11</v>
      </c>
      <c r="H10" s="451">
        <f>IF(ISNUMBER(Datos!O10),Datos!O10," - ")</f>
        <v>11</v>
      </c>
      <c r="I10" s="452">
        <f t="shared" ref="I10:I13" si="2">IF(ISNUMBER(H10/B10),H10/B10," - ")</f>
        <v>11</v>
      </c>
    </row>
    <row r="11" spans="1:9">
      <c r="A11" s="450" t="str">
        <f>Datos!A11</f>
        <v xml:space="preserve">Jdos. Familia                                   </v>
      </c>
      <c r="B11" s="480">
        <f>Datos!AO11</f>
        <v>1</v>
      </c>
      <c r="C11" s="458">
        <f>Datos!AQ11</f>
        <v>1</v>
      </c>
      <c r="D11" s="451">
        <f>IF(ISNUMBER(Datos!M11),Datos!M11," - ")</f>
        <v>190</v>
      </c>
      <c r="E11" s="452">
        <f t="shared" si="0"/>
        <v>190</v>
      </c>
      <c r="F11" s="451">
        <f>IF(ISNUMBER(Datos!N11),Datos!N11," - ")</f>
        <v>164</v>
      </c>
      <c r="G11" s="452">
        <f t="shared" si="1"/>
        <v>164</v>
      </c>
      <c r="H11" s="451">
        <f>IF(ISNUMBER(Datos!O11),Datos!O11," - ")</f>
        <v>118</v>
      </c>
      <c r="I11" s="452">
        <f t="shared" si="2"/>
        <v>118</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784</v>
      </c>
      <c r="E14" s="1147">
        <f t="shared" si="0"/>
        <v>87.111111111111114</v>
      </c>
      <c r="F14" s="1146">
        <f>SUBTOTAL(9,F9:F13)</f>
        <v>1247</v>
      </c>
      <c r="G14" s="1147">
        <f t="shared" si="1"/>
        <v>138.55555555555554</v>
      </c>
      <c r="H14" s="1146">
        <f>SUBTOTAL(9,H9:H13)</f>
        <v>1514</v>
      </c>
      <c r="I14" s="1147">
        <f>IF(ISNUMBER(H14/B14),H14/B14," - ")</f>
        <v>168.22222222222223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340</v>
      </c>
      <c r="E16" s="452">
        <f t="shared" ref="E16:E23" si="3">IF(ISNUMBER(D16/B16),D16/B16," - ")</f>
        <v>85</v>
      </c>
      <c r="F16" s="451">
        <f>IF(ISNUMBER(Datos!N16),Datos!N16," - ")</f>
        <v>1648</v>
      </c>
      <c r="G16" s="452">
        <f t="shared" ref="G16:G23" si="4">IF(ISNUMBER(F16/B16),F16/B16," - ")</f>
        <v>412</v>
      </c>
      <c r="H16" s="451">
        <f>IF(ISNUMBER(Datos!O16),Datos!O16," - ")</f>
        <v>104</v>
      </c>
      <c r="I16" s="452">
        <f t="shared" ref="I16:I22" si="5">IF(ISNUMBER(H16/B16),H16/B16," - ")</f>
        <v>26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336</v>
      </c>
      <c r="G18" s="452">
        <f>IF(ISNUMBER(F18/B18),F18/B18," - ")</f>
        <v>336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361</v>
      </c>
      <c r="E23" s="1147">
        <f t="shared" si="3"/>
        <v>72.2</v>
      </c>
      <c r="F23" s="1146">
        <f>SUBTOTAL(9,F16:F22)</f>
        <v>1984</v>
      </c>
      <c r="G23" s="1147">
        <f t="shared" si="4"/>
        <v>396.8</v>
      </c>
      <c r="H23" s="1146">
        <f>SUBTOTAL(9,H16:H22)</f>
        <v>104</v>
      </c>
      <c r="I23" s="1147">
        <f>IF(ISNUMBER(H23/B23),H23/B23," - ")</f>
        <v>20.8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1145</v>
      </c>
      <c r="E31" s="1085">
        <f>IF(ISNUMBER(D31/B31),D31/B31," - ")</f>
        <v>95.416666666666671</v>
      </c>
      <c r="F31" s="1084">
        <f>SUBTOTAL(9,F8:F30)</f>
        <v>3231</v>
      </c>
      <c r="G31" s="1085">
        <f>IF(ISNUMBER(F31/B31),F31/B31," - ")</f>
        <v>269.25</v>
      </c>
      <c r="H31" s="1084">
        <f>SUBTOTAL(9,H8:H30)</f>
        <v>1618</v>
      </c>
      <c r="I31" s="1085">
        <f>IF(ISNUMBER(H31/B31),H31/B31," - ")</f>
        <v>134.83333333333334</v>
      </c>
    </row>
    <row r="34" spans="1:1">
      <c r="A34" s="439" t="str">
        <f>Criterios!A4</f>
        <v>Fecha Informe: 05 may. 2023</v>
      </c>
    </row>
    <row r="39" spans="1:1">
      <c r="A39" s="462"/>
    </row>
  </sheetData>
  <sheetProtection algorithmName="SHA-512" hashValue="oBLiCAUbpB62qFJFzNK8gFwMd+3+aduKiikXe8/Y2NqxnzOmTn7fPT/0eF8Npi5mo9Z6tXs/cusnfOGuC03CbQ==" saltValue="nlADf0KCjid/wiV9Y86p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GUADALAJARA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631</v>
      </c>
      <c r="C9" s="489">
        <f>IF(ISNUMBER(Datos!Q9),Datos!Q9," - ")</f>
        <v>423</v>
      </c>
      <c r="D9" s="456">
        <f>IF(ISNUMBER(Datos!R9),Datos!R9," - ")</f>
        <v>11566</v>
      </c>
    </row>
    <row r="10" spans="1:4">
      <c r="A10" s="450" t="str">
        <f>Datos!A10</f>
        <v>Jdos. Violencia contra la mujer</v>
      </c>
      <c r="B10" s="488">
        <f>IF(ISNUMBER(Datos!P10),Datos!P10," - ")</f>
        <v>7</v>
      </c>
      <c r="C10" s="489">
        <f>IF(ISNUMBER(Datos!Q10),Datos!Q10," - ")</f>
        <v>2</v>
      </c>
      <c r="D10" s="456">
        <f>IF(ISNUMBER(Datos!R10),Datos!R10," - ")</f>
        <v>90</v>
      </c>
    </row>
    <row r="11" spans="1:4">
      <c r="A11" s="450" t="str">
        <f>Datos!A11</f>
        <v xml:space="preserve">Jdos. Familia                                   </v>
      </c>
      <c r="B11" s="488">
        <f>IF(ISNUMBER(Datos!P11),Datos!P11," - ")</f>
        <v>57</v>
      </c>
      <c r="C11" s="489">
        <f>IF(ISNUMBER(Datos!Q11),Datos!Q11," - ")</f>
        <v>108</v>
      </c>
      <c r="D11" s="456">
        <f>IF(ISNUMBER(Datos!R11),Datos!R11," - ")</f>
        <v>1085</v>
      </c>
    </row>
    <row r="12" spans="1:4">
      <c r="A12" s="450" t="str">
        <f>Datos!A12</f>
        <v xml:space="preserve">Jdos. 1ª Instª. e Instr.                        </v>
      </c>
      <c r="B12" s="488">
        <f>IF(ISNUMBER(Datos!P12),Datos!P12," - ")</f>
        <v>4</v>
      </c>
      <c r="C12" s="489">
        <f>IF(ISNUMBER(Datos!Q12),Datos!Q12," - ")</f>
        <v>0</v>
      </c>
      <c r="D12" s="456">
        <f>IF(ISNUMBER(Datos!R12),Datos!R12," - ")</f>
        <v>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699</v>
      </c>
      <c r="C14" s="1150">
        <f>SUBTOTAL(9,C9:C13)</f>
        <v>533</v>
      </c>
      <c r="D14" s="1148">
        <f>SUBTOTAL(9,D9:D13)</f>
        <v>12770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149</v>
      </c>
      <c r="C16" s="489">
        <f>IF(ISNUMBER(Datos!Q16),Datos!Q16," - ")</f>
        <v>114</v>
      </c>
      <c r="D16" s="456">
        <f>IF(ISNUMBER(Datos!R16),Datos!R16," - ")</f>
        <v>421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149</v>
      </c>
      <c r="C23" s="1150">
        <f>SUBTOTAL(9,C16:C22)</f>
        <v>114</v>
      </c>
      <c r="D23" s="1148">
        <f>SUBTOTAL(9,D16:D22)</f>
        <v>428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848</v>
      </c>
      <c r="C31" s="1089">
        <f>SUBTOTAL(9,C8:C30)</f>
        <v>647</v>
      </c>
      <c r="D31" s="1090">
        <f>SUBTOTAL(9,D8:D30)</f>
        <v>13198</v>
      </c>
    </row>
    <row r="32" spans="1:4" ht="7.5" customHeight="1"/>
    <row r="33" spans="1:1" ht="6" customHeight="1"/>
    <row r="34" spans="1:1">
      <c r="A34" s="439" t="str">
        <f>Criterios!A4</f>
        <v>Fecha Informe: 05 may. 2023</v>
      </c>
    </row>
    <row r="39" spans="1:1">
      <c r="A39" s="462"/>
    </row>
  </sheetData>
  <sheetProtection algorithmName="SHA-512" hashValue="FFpHPP502vKX7R1zK8TxvUdaAg2mXu49DSSTfccVG8mLjRj+sFSbgMcjCYZwCQKY6ub/LJwJOQ0YxoMfeXIUcA==" saltValue="hXZ8aHF1cyySylpdIa1J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GUADALAJARA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3.0663888061923193E-2</v>
      </c>
      <c r="C9" s="515">
        <f>IF(ISNUMBER(
   IF(J_V="SI",(Datos!J9-Datos!T9)/Datos!T9,(Datos!J9+Datos!Z9-(Datos!T9+Datos!AH9))/(Datos!T9+Datos!AH9))
     ),IF(J_V="SI",(Datos!J9-Datos!T9)/Datos!T9,(Datos!J9+Datos!Z9-(Datos!T9+Datos!AH9))/(Datos!T9+Datos!AH9))," - ")</f>
        <v>-3.6166365280289331E-4</v>
      </c>
      <c r="D9" s="515">
        <f>IF(ISNUMBER(
   IF(J_V="SI",(Datos!K9-Datos!U9)/Datos!U9,(Datos!K9+Datos!AA9-(Datos!U9+Datos!AI9))/(Datos!U9+Datos!AI9))
     ),IF(J_V="SI",(Datos!K9-Datos!U9)/Datos!U9,(Datos!K9+Datos!AA9-(Datos!U9+Datos!AI9))/(Datos!U9+Datos!AI9))," - ")</f>
        <v>2.2744503411675512E-3</v>
      </c>
      <c r="E9" s="515">
        <f>IF(ISNUMBER(
   IF(J_V="SI",(Datos!L9-Datos!V9)/Datos!V9,(Datos!L9+Datos!AB9-(Datos!V9+Datos!AJ9))/(Datos!V9+Datos!AJ9))
     ),IF(J_V="SI",(Datos!L9-Datos!V9)/Datos!V9,(Datos!L9+Datos!AB9-(Datos!V9+Datos!AJ9))/(Datos!V9+Datos!AJ9))," - ")</f>
        <v>2.3666910153396638E-2</v>
      </c>
      <c r="F9" s="515">
        <f>IF(ISNUMBER((Datos!M9-Datos!W9)/Datos!W9),(Datos!M9-Datos!W9)/Datos!W9," - ")</f>
        <v>-0.10200927357032458</v>
      </c>
      <c r="G9" s="516">
        <f>IF(ISNUMBER((Datos!N9-Datos!X9)/Datos!X9),(Datos!N9-Datos!X9)/Datos!X9," - ")</f>
        <v>0.15392895586652314</v>
      </c>
      <c r="H9" s="514">
        <f>IF(ISNUMBER(((NºAsuntos!G9/NºAsuntos!E9)-Datos!BD9)/Datos!BD9),((NºAsuntos!G9/NºAsuntos!E9)-Datos!BD9)/Datos!BD9," - ")</f>
        <v>2.6370677255167529E-3</v>
      </c>
      <c r="I9" s="515">
        <f>IF(ISNUMBER(((NºAsuntos!I9/NºAsuntos!G9)-Datos!BE9)/Datos!BE9),((NºAsuntos!I9/NºAsuntos!G9)-Datos!BE9)/Datos!BE9," - ")</f>
        <v>2.1343914139432717E-2</v>
      </c>
      <c r="J9" s="521">
        <f>IF(ISNUMBER((('Resol  Asuntos'!D9/NºAsuntos!G9)-Datos!BF9)/Datos!BF9),(('Resol  Asuntos'!D9/NºAsuntos!G9)-Datos!BF9)/Datos!BF9," - ")</f>
        <v>-0.3760155617691171</v>
      </c>
      <c r="K9" s="522">
        <f>IF(ISNUMBER((((NºAsuntos!C9+NºAsuntos!E9)/NºAsuntos!G9)-Datos!BG9)/Datos!BG9),(((NºAsuntos!C9+NºAsuntos!E9)/NºAsuntos!G9)-Datos!BG9)/Datos!BG9," - ")</f>
        <v>1.9299285942532957E-2</v>
      </c>
    </row>
    <row r="10" spans="1:11">
      <c r="A10" s="450" t="str">
        <f>Datos!A10</f>
        <v>Jdos. Violencia contra la mujer</v>
      </c>
      <c r="B10" s="514">
        <f>IF(ISNUMBER((Datos!I10-Datos!S10)/Datos!S10),(Datos!I10-Datos!S10)/Datos!S10," - ")</f>
        <v>0.5089285714285714</v>
      </c>
      <c r="C10" s="515">
        <f>IF(ISNUMBER((Datos!J10-Datos!T10)/Datos!T10),(Datos!J10-Datos!T10)/Datos!T10," - ")</f>
        <v>-0.20930232558139536</v>
      </c>
      <c r="D10" s="515">
        <f>IF(ISNUMBER((Datos!K10-Datos!U10)/Datos!U10),(Datos!K10-Datos!U10)/Datos!U10," - ")</f>
        <v>5.6</v>
      </c>
      <c r="E10" s="515">
        <f>IF(ISNUMBER((Datos!L10-Datos!V10)/Datos!V10),(Datos!L10-Datos!V10)/Datos!V10," - ")</f>
        <v>0.13333333333333333</v>
      </c>
      <c r="F10" s="515">
        <f>IF(ISNUMBER((Datos!M10-Datos!W10)/Datos!W10),(Datos!M10-Datos!W10)/Datos!W10," - ")</f>
        <v>2.25</v>
      </c>
      <c r="G10" s="516">
        <f>IF(ISNUMBER((Datos!N10-Datos!X10)/Datos!X10),(Datos!N10-Datos!X10)/Datos!X10," - ")</f>
        <v>10</v>
      </c>
      <c r="H10" s="514">
        <f>IF(ISNUMBER(((NºAsuntos!G10/NºAsuntos!E10)-Datos!BD10)/Datos!BD10),((NºAsuntos!G10/NºAsuntos!E10)-Datos!BD10)/Datos!BD10," - ")</f>
        <v>7.3470588235294123</v>
      </c>
      <c r="I10" s="515">
        <f>IF(ISNUMBER(((NºAsuntos!I10/NºAsuntos!G10)-Datos!BE10)/Datos!BE10),((NºAsuntos!I10/NºAsuntos!G10)-Datos!BE10)/Datos!BE10," - ")</f>
        <v>-0.82828282828282829</v>
      </c>
      <c r="J10" s="521">
        <f>IF(ISNUMBER((('Resol  Asuntos'!D10/NºAsuntos!G10)-Datos!BF10)/Datos!BF10),(('Resol  Asuntos'!D10/NºAsuntos!G10)-Datos!BF10)/Datos!BF10," - ")</f>
        <v>-0.50757575757575757</v>
      </c>
      <c r="K10" s="522">
        <f>IF(ISNUMBER((((NºAsuntos!C10+NºAsuntos!E10)/NºAsuntos!G10)-Datos!BG10)/Datos!BG10),(((NºAsuntos!C10+NºAsuntos!E10)/NºAsuntos!G10)-Datos!BG10)/Datos!BG10," - ")</f>
        <v>-0.80156402737047894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1.1971830985915493E-2</v>
      </c>
      <c r="C11" s="515">
        <f>IF(ISNUMBER(
   IF(J_V="SI",(Datos!J11-Datos!T11)/Datos!T11,(Datos!J11+Datos!Z11-(Datos!T11+Datos!AH11))/(Datos!T11+Datos!AH11))
     ),IF(J_V="SI",(Datos!J11-Datos!T11)/Datos!T11,(Datos!J11+Datos!Z11-(Datos!T11+Datos!AH11))/(Datos!T11+Datos!AH11))," - ")</f>
        <v>0.16475972540045766</v>
      </c>
      <c r="D11" s="515">
        <f>IF(ISNUMBER(
   IF(J_V="SI",(Datos!K11-Datos!U11)/Datos!U11,(Datos!K11+Datos!AA11-(Datos!U11+Datos!AI11))/(Datos!U11+Datos!AI11))
     ),IF(J_V="SI",(Datos!K11-Datos!U11)/Datos!U11,(Datos!K11+Datos!AA11-(Datos!U11+Datos!AI11))/(Datos!U11+Datos!AI11))," - ")</f>
        <v>-0.16634429400386846</v>
      </c>
      <c r="E11" s="515">
        <f>IF(ISNUMBER(
   IF(J_V="SI",(Datos!L11-Datos!V11)/Datos!V11,(Datos!L11+Datos!AB11-(Datos!V11+Datos!AJ11))/(Datos!V11+Datos!AJ11))
     ),IF(J_V="SI",(Datos!L11-Datos!V11)/Datos!V11,(Datos!L11+Datos!AB11-(Datos!V11+Datos!AJ11))/(Datos!V11+Datos!AJ11))," - ")</f>
        <v>0.12965722801788376</v>
      </c>
      <c r="F11" s="515">
        <f>IF(ISNUMBER((Datos!M11-Datos!W11)/Datos!W11),(Datos!M11-Datos!W11)/Datos!W11," - ")</f>
        <v>-0.20168067226890757</v>
      </c>
      <c r="G11" s="516">
        <f>IF(ISNUMBER((Datos!N11-Datos!X11)/Datos!X11),(Datos!N11-Datos!X11)/Datos!X11," - ")</f>
        <v>8.6092715231788075E-2</v>
      </c>
      <c r="H11" s="514">
        <f>IF(ISNUMBER(((NºAsuntos!G11/NºAsuntos!E11)-Datos!BD11)/Datos!BD11),((NºAsuntos!G11/NºAsuntos!E11)-Datos!BD11)/Datos!BD11," - ")</f>
        <v>-0.28426808738642545</v>
      </c>
      <c r="I11" s="515">
        <f>IF(ISNUMBER(((NºAsuntos!I11/NºAsuntos!G11)-Datos!BE11)/Datos!BE11),((NºAsuntos!I11/NºAsuntos!G11)-Datos!BE11)/Datos!BE11," - ")</f>
        <v>0.35506447073142894</v>
      </c>
      <c r="J11" s="521">
        <f>IF(ISNUMBER((('Resol  Asuntos'!D11/NºAsuntos!G11)-Datos!BF11)/Datos!BF11),(('Resol  Asuntos'!D11/NºAsuntos!G11)-Datos!BF11)/Datos!BF11," - ")</f>
        <v>0.50934988706381268</v>
      </c>
      <c r="K11" s="522">
        <f>IF(ISNUMBER((((NºAsuntos!C11+NºAsuntos!E11)/NºAsuntos!G11)-Datos!BG11)/Datos!BG11),(((NºAsuntos!C11+NºAsuntos!E11)/NºAsuntos!G11)-Datos!BG11)/Datos!BG11," - ")</f>
        <v>0.25702583939617696</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f>IF(ISNUMBER((Datos!N12-Datos!X12)/Datos!X12),(Datos!N12-Datos!X12)/Datos!X12," - ")</f>
        <v>-1</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3.143893591293833E-2</v>
      </c>
      <c r="C14" s="1152">
        <f>IF(ISNUMBER(
   IF(J_V="SI",(Datos!J14-Datos!T14)/Datos!T14,(Datos!J14+Datos!Z14-(Datos!T14+Datos!AH14))/(Datos!T14+Datos!AH14))
     ),IF(J_V="SI",(Datos!J14-Datos!T14)/Datos!T14,(Datos!J14+Datos!Z14-(Datos!T14+Datos!AH14))/(Datos!T14+Datos!AH14))," - ")</f>
        <v>1.8165024630541871E-2</v>
      </c>
      <c r="D14" s="1152">
        <f>IF(ISNUMBER(
   IF(J_V="SI",(Datos!K14-Datos!U14)/Datos!U14,(Datos!K14+Datos!AA14-(Datos!U14+Datos!AI14))/(Datos!U14+Datos!AI14))
     ),IF(J_V="SI",(Datos!K14-Datos!U14)/Datos!U14,(Datos!K14+Datos!AA14-(Datos!U14+Datos!AI14))/(Datos!U14+Datos!AI14))," - ")</f>
        <v>-1.8629617934954216E-2</v>
      </c>
      <c r="E14" s="1152">
        <f>IF(ISNUMBER(
   IF(J_V="SI",(Datos!L14-Datos!V14)/Datos!V14,(Datos!L14+Datos!AB14-(Datos!V14+Datos!AJ14))/(Datos!V14+Datos!AJ14))
     ),IF(J_V="SI",(Datos!L14-Datos!V14)/Datos!V14,(Datos!L14+Datos!AB14-(Datos!V14+Datos!AJ14))/(Datos!V14+Datos!AJ14))," - ")</f>
        <v>4.0703938704657008E-2</v>
      </c>
      <c r="F14" s="1153">
        <f>IF(ISNUMBER((Datos!M14-Datos!W14)/Datos!W14),(Datos!M14-Datos!W14)/Datos!W14," - ")</f>
        <v>-0.11811023622047244</v>
      </c>
      <c r="G14" s="1154">
        <f>IF(ISNUMBER((Datos!N14-Datos!X14)/Datos!X14),(Datos!N14-Datos!X14)/Datos!X14," - ")</f>
        <v>0.15036900369003689</v>
      </c>
      <c r="H14" s="1154">
        <f>IF(ISNUMBER(((NºAsuntos!G14/NºAsuntos!E14)-Datos!BD14)/Datos!BD14),((NºAsuntos!G14/NºAsuntos!E14)-Datos!BD14)/Datos!BD14," - ")</f>
        <v>-3.6138191428101422E-2</v>
      </c>
      <c r="I14" s="1154">
        <f>IF(ISNUMBER(((NºAsuntos!I14/NºAsuntos!G14)-Datos!BE14)/Datos!BE14),((NºAsuntos!I14/NºAsuntos!G14)-Datos!BE14)/Datos!BE14," - ")</f>
        <v>6.0459901505034865E-2</v>
      </c>
      <c r="J14" s="1154">
        <f>IF(ISNUMBER((('Resol  Asuntos'!D14/NºAsuntos!G14)-Datos!BF14)/Datos!BF14),(('Resol  Asuntos'!D14/NºAsuntos!G14)-Datos!BF14)/Datos!BF14," - ")</f>
        <v>-0.26505714546192932</v>
      </c>
      <c r="K14" s="1154">
        <f>IF(ISNUMBER((((NºAsuntos!C14+NºAsuntos!E14)/NºAsuntos!G14)-Datos!BG14)/Datos!BG14),(((NºAsuntos!C14+NºAsuntos!E14)/NºAsuntos!G14)-Datos!BG14)/Datos!BG14," - ")</f>
        <v>4.7204805951984286E-2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-0.14892032762472077</v>
      </c>
      <c r="C16" s="515">
        <f>IF(ISNUMBER(
   IF(D_I="SI",(Datos!J16-Datos!T16)/Datos!T16,(Datos!J16+Datos!AD16-(Datos!T16+Datos!AL16))/(Datos!T16+Datos!AL16))
     ),IF(D_I="SI",(Datos!J16-Datos!T16)/Datos!T16,(Datos!J16+Datos!AD16-(Datos!T16+Datos!AL16))/(Datos!T16+Datos!AL16))," - ")</f>
        <v>0.21195652173913043</v>
      </c>
      <c r="D16" s="515">
        <f>IF(ISNUMBER(
   IF(D_I="SI",(Datos!K16-Datos!U16)/Datos!U16,(Datos!K16+Datos!AE16-(Datos!U16+Datos!AM16))/(Datos!U16+Datos!AM16))
     ),IF(D_I="SI",(Datos!K16-Datos!U16)/Datos!U16,(Datos!K16+Datos!AE16-(Datos!U16+Datos!AM16))/(Datos!U16+Datos!AM16))," - ")</f>
        <v>0.31161473087818697</v>
      </c>
      <c r="E16" s="515">
        <f>IF(ISNUMBER(
   IF(D_I="SI",(Datos!L16-Datos!V16)/Datos!V16,(Datos!L16+Datos!AF16-(Datos!V16+Datos!AN16))/(Datos!V16+Datos!AN16))
     ),IF(D_I="SI",(Datos!L16-Datos!V16)/Datos!V16,(Datos!L16+Datos!AF16-(Datos!V16+Datos!AN16))/(Datos!V16+Datos!AN16))," - ")</f>
        <v>-0.18744939271255059</v>
      </c>
      <c r="F16" s="515">
        <f>IF(ISNUMBER((Datos!M16-Datos!W16)/Datos!W16),(Datos!M16-Datos!W16)/Datos!W16," - ")</f>
        <v>5.9190031152647975E-2</v>
      </c>
      <c r="G16" s="516">
        <f>IF(ISNUMBER((Datos!N16-Datos!X16)/Datos!X16),(Datos!N16-Datos!X16)/Datos!X16," - ")</f>
        <v>0.26380368098159507</v>
      </c>
      <c r="H16" s="514">
        <f>IF(ISNUMBER(((NºAsuntos!G16/NºAsuntos!E16)-Datos!BD16)/Datos!BD16),((NºAsuntos!G16/NºAsuntos!E16)-Datos!BD16)/Datos!BD16," - ")</f>
        <v>8.2229194984692236E-2</v>
      </c>
      <c r="I16" s="515">
        <f>IF(ISNUMBER(((NºAsuntos!I16/NºAsuntos!G16)-Datos!BE16)/Datos!BE16),((NºAsuntos!I16/NºAsuntos!G16)-Datos!BE16)/Datos!BE16," - ")</f>
        <v>-0.38049597327760337</v>
      </c>
      <c r="J16" s="521">
        <f>IF(ISNUMBER((('Resol  Asuntos'!D16/NºAsuntos!G16)-Datos!BF16)/Datos!BF16),(('Resol  Asuntos'!D16/NºAsuntos!G16)-Datos!BF16)/Datos!BF16," - ")</f>
        <v>-0.19245338877562701</v>
      </c>
      <c r="K16" s="522">
        <f>IF(ISNUMBER((((NºAsuntos!C16+NºAsuntos!E16)/NºAsuntos!G16)-Datos!BG16)/Datos!BG16),(((NºAsuntos!C16+NºAsuntos!E16)/NºAsuntos!G16)-Datos!BG16)/Datos!BG16," - ")</f>
        <v>-0.23288669390525188</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0.11513859275053305</v>
      </c>
      <c r="C18" s="515">
        <f>IF(ISNUMBER(
   IF(D_I="SI",(Datos!J18-Datos!T18)/Datos!T18,(Datos!J18+Datos!AD18-(Datos!T18+Datos!AL18))/(Datos!T18+Datos!AL18))
     ),IF(D_I="SI",(Datos!J18-Datos!T18)/Datos!T18,(Datos!J18+Datos!AD18-(Datos!T18+Datos!AL18))/(Datos!T18+Datos!AL18))," - ")</f>
        <v>0.56862745098039214</v>
      </c>
      <c r="D18" s="515">
        <f>IF(ISNUMBER(
   IF(D_I="SI",(Datos!K18-Datos!U18)/Datos!U18,(Datos!K18+Datos!AE18-(Datos!U18+Datos!AM18))/(Datos!U18+Datos!AM18))
     ),IF(D_I="SI",(Datos!K18-Datos!U18)/Datos!U18,(Datos!K18+Datos!AE18-(Datos!U18+Datos!AM18))/(Datos!U18+Datos!AM18))," - ")</f>
        <v>1.0330578512396693</v>
      </c>
      <c r="E18" s="515">
        <f>IF(ISNUMBER(
   IF(D_I="SI",(Datos!L18-Datos!V18)/Datos!V18,(Datos!L18+Datos!AF18-(Datos!V18+Datos!AN18))/(Datos!V18+Datos!AN18))
     ),IF(D_I="SI",(Datos!L18-Datos!V18)/Datos!V18,(Datos!L18+Datos!AF18-(Datos!V18+Datos!AN18))/(Datos!V18+Datos!AN18))," - ")</f>
        <v>-0.20316027088036118</v>
      </c>
      <c r="F18" s="515">
        <f>IF(ISNUMBER((Datos!M18-Datos!W18)/Datos!W18),(Datos!M18-Datos!W18)/Datos!W18," - ")</f>
        <v>-0.19230769230769232</v>
      </c>
      <c r="G18" s="516">
        <f>IF(ISNUMBER((Datos!N18-Datos!X18)/Datos!X18),(Datos!N18-Datos!X18)/Datos!X18," - ")</f>
        <v>1.4347826086956521</v>
      </c>
      <c r="H18" s="514">
        <f>IF(ISNUMBER(((NºAsuntos!G18/NºAsuntos!E18)-Datos!BD18)/Datos!BD18),((NºAsuntos!G18/NºAsuntos!E18)-Datos!BD18)/Datos!BD18," - ")</f>
        <v>0.29607438016528931</v>
      </c>
      <c r="I18" s="515">
        <f>IF(ISNUMBER(((NºAsuntos!I18/NºAsuntos!G18)-Datos!BE18)/Datos!BE18),((NºAsuntos!I18/NºAsuntos!G18)-Datos!BE18)/Datos!BE18," - ")</f>
        <v>-0.60805850722164101</v>
      </c>
      <c r="J18" s="521">
        <f>IF(ISNUMBER((('Resol  Asuntos'!D18/NºAsuntos!G18)-Datos!BF18)/Datos!BF18),(('Resol  Asuntos'!D18/NºAsuntos!G18)-Datos!BF18)/Datos!BF18," - ")</f>
        <v>-0.60272045028142585</v>
      </c>
      <c r="K18" s="522">
        <f>IF(ISNUMBER((((NºAsuntos!C18+NºAsuntos!E18)/NºAsuntos!G18)-Datos!BG18)/Datos!BG18),(((NºAsuntos!C18+NºAsuntos!E18)/NºAsuntos!G18)-Datos!BG18)/Datos!BG18," - ")</f>
        <v>-0.38388359366505997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-0.10966719492868462</v>
      </c>
      <c r="C23" s="1152">
        <f>IF(ISNUMBER(
   IF(Criterios!B14="SI",(Datos!J23-Datos!T23)/Datos!T23,(Datos!J23+Datos!AD23-(Datos!T23+Datos!AL23))/(Datos!T23+Datos!AL23))
     ),IF(Criterios!B14="SI",(Datos!J23-Datos!T23)/Datos!T23,(Datos!J23+Datos!AD23-(Datos!T23+Datos!AL23))/(Datos!T23+Datos!AL23))," - ")</f>
        <v>0.24461400359066426</v>
      </c>
      <c r="D23" s="1152">
        <f>IF(ISNUMBER(
   IF(Criterios!B14="SI",(Datos!K23-Datos!U23)/Datos!U23,(Datos!K23+Datos!AE23-(Datos!U23+Datos!AM23))/(Datos!U23+Datos!AM23))
     ),IF(Criterios!B14="SI",(Datos!K23-Datos!U23)/Datos!U23,(Datos!K23+Datos!AE23-(Datos!U23+Datos!AM23))/(Datos!U23+Datos!AM23))," - ")</f>
        <v>0.38559322033898308</v>
      </c>
      <c r="E23" s="1152">
        <f>IF(ISNUMBER(
   IF(Criterios!B14="SI",(Datos!L23-Datos!V23)/Datos!V23,(Datos!L23+Datos!AF23-(Datos!V23+Datos!AN23))/(Datos!V23+Datos!AN23))
     ),IF(Criterios!B14="SI",(Datos!L23-Datos!V23)/Datos!V23,(Datos!L23+Datos!AF23-(Datos!V23+Datos!AN23))/(Datos!V23+Datos!AN23))," - ")</f>
        <v>-0.18983865430827326</v>
      </c>
      <c r="F23" s="1153">
        <f>IF(ISNUMBER((Datos!M23-Datos!W23)/Datos!W23),(Datos!M23-Datos!W23)/Datos!W23," - ")</f>
        <v>4.0345821325648415E-2</v>
      </c>
      <c r="G23" s="1154">
        <f>IF(ISNUMBER((Datos!N23-Datos!X23)/Datos!X23),(Datos!N23-Datos!X23)/Datos!X23," - ")</f>
        <v>0.37586685159500693</v>
      </c>
      <c r="H23" s="1154">
        <f>IF(ISNUMBER(((NºAsuntos!G23/NºAsuntos!E23)-Datos!BD23)/Datos!BD23),((NºAsuntos!G23/NºAsuntos!E23)-Datos!BD23)/Datos!BD23," - ")</f>
        <v>0.11327143704120254</v>
      </c>
      <c r="I23" s="1154">
        <f>IF(ISNUMBER(((NºAsuntos!I23/NºAsuntos!G23)-Datos!BE23)/Datos!BE23),((NºAsuntos!I23/NºAsuntos!G23)-Datos!BE23)/Datos!BE23," - ")</f>
        <v>-0.41529639882798935</v>
      </c>
      <c r="J23" s="1154">
        <f>IF(ISNUMBER((('Resol  Asuntos'!D23/NºAsuntos!G23)-Datos!BF23)/Datos!BF23),(('Resol  Asuntos'!D23/NºAsuntos!G23)-Datos!BF23)/Datos!BF23," - ")</f>
        <v>-0.24916937665794189</v>
      </c>
      <c r="K23" s="1154">
        <f>IF(ISNUMBER((((NºAsuntos!C23+NºAsuntos!E23)/NºAsuntos!G23)-Datos!BG23)/Datos!BG23),(((NºAsuntos!C23+NºAsuntos!E23)/NºAsuntos!G23)-Datos!BG23)/Datos!BG23," - ")</f>
        <v>-0.25160702426542736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-7.5273522975929982E-3</v>
      </c>
      <c r="C31" s="1092">
        <f>IF(ISNUMBER(
   IF(J_V="SI",(Datos!J31-Datos!T31)/Datos!T31,(Datos!J31+Datos!Z31-(Datos!T31+Datos!AH31))/(Datos!T31+Datos!AH31))
     ),IF(J_V="SI",(Datos!J31-Datos!T31)/Datos!T31,(Datos!J31+Datos!Z31-(Datos!T31+Datos!AH31))/(Datos!T31+Datos!AH31))," - ")</f>
        <v>0.11029948867786706</v>
      </c>
      <c r="D31" s="1092">
        <f>IF(ISNUMBER(
   IF(J_V="SI",(Datos!K31-Datos!U31)/Datos!U31,(Datos!K31+Datos!AA31-(Datos!U31+Datos!AI31))/(Datos!U31+Datos!AI31))
     ),IF(J_V="SI",(Datos!K31-Datos!U31)/Datos!U31,(Datos!K31+Datos!AA31-(Datos!U31+Datos!AI31))/(Datos!U31+Datos!AI31))," - ")</f>
        <v>0.15397141306314457</v>
      </c>
      <c r="E31" s="1092">
        <f>IF(ISNUMBER(
   IF(J_V="SI",(Datos!L31-Datos!V31)/Datos!V31,(Datos!L31+Datos!AB31-(Datos!V31+Datos!AJ31))/(Datos!V31+Datos!AJ31))
     ),IF(J_V="SI",(Datos!L31-Datos!V31)/Datos!V31,(Datos!L31+Datos!AB31-(Datos!V31+Datos!AJ31))/(Datos!V31+Datos!AJ31))," - ")</f>
        <v>-1.8906444168293981E-2</v>
      </c>
      <c r="F31" s="1093">
        <f>IF(ISNUMBER((Datos!M31-Datos!W31)/Datos!W31),(Datos!M31-Datos!W31)/Datos!W31," - ")</f>
        <v>-7.3624595469255663E-2</v>
      </c>
      <c r="G31" s="1094">
        <f>IF(ISNUMBER((Datos!N31-Datos!X31)/Datos!X31),(Datos!N31-Datos!X31)/Datos!X31," - ")</f>
        <v>0.27909738717339666</v>
      </c>
      <c r="H31" s="1095">
        <f>IF(ISNUMBER((Tasas!B31-Datos!BD31)/Datos!BD31),(Tasas!B31-Datos!BD31)/Datos!BD31," - ")</f>
        <v>3.93334634759505E-2</v>
      </c>
      <c r="I31" s="1096">
        <f>IF(ISNUMBER((Tasas!C31-Datos!BE31)/Datos!BE31),(Tasas!C31-Datos!BE31)/Datos!BE31," - ")</f>
        <v>-0.14981121306336795</v>
      </c>
      <c r="J31" s="1097">
        <f>IF(ISNUMBER((Tasas!D31-Datos!BF31)/Datos!BF31),(Tasas!D31-Datos!BF31)/Datos!BF31," - ")</f>
        <v>-0.30807139517684784</v>
      </c>
      <c r="K31" s="1097">
        <f>IF(ISNUMBER((Tasas!E31-Datos!BG31)/Datos!BG31),(Tasas!E31-Datos!BG31)/Datos!BG31," - ")</f>
        <v>-0.10686775915575271</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HF/6NsgWwwtf5kSn3RjhiXBUEj5h+cRqmU+Zzv+YXAPOdf50sXF+un8nhjSkxH9aC3ET/lICQdWh/1BhYpblw==" saltValue="RLcqYPl0sjbQnKx6nm2h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GUADALAJARA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0.95658465991316932</v>
      </c>
      <c r="C9" s="498">
        <f>IF(ISNUMBER(NºAsuntos!I9/NºAsuntos!G9),NºAsuntos!I9/NºAsuntos!G9," - ")</f>
        <v>2.6501512859304084</v>
      </c>
      <c r="D9" s="499">
        <f>IF(ISNUMBER('Resol  Asuntos'!D9/NºAsuntos!G9),'Resol  Asuntos'!D9/NºAsuntos!G9," - ")</f>
        <v>0.21974281391830561</v>
      </c>
      <c r="E9" s="500">
        <f>IF(ISNUMBER((NºAsuntos!C9+NºAsuntos!E9)/NºAsuntos!G9),(NºAsuntos!C9+NºAsuntos!E9)/NºAsuntos!G9," - ")</f>
        <v>3.664145234493192</v>
      </c>
      <c r="G9" s="523"/>
    </row>
    <row r="10" spans="1:7">
      <c r="A10" s="450" t="str">
        <f>Datos!A10</f>
        <v>Jdos. Violencia contra la mujer</v>
      </c>
      <c r="B10" s="497">
        <f>IF(ISNUMBER(NºAsuntos!G10/NºAsuntos!E10),NºAsuntos!G10/NºAsuntos!E10," - ")</f>
        <v>0.97058823529411764</v>
      </c>
      <c r="C10" s="498">
        <f>IF(ISNUMBER(NºAsuntos!I10/NºAsuntos!G10),NºAsuntos!I10/NºAsuntos!G10," - ")</f>
        <v>5.1515151515151514</v>
      </c>
      <c r="D10" s="499">
        <f>IF(ISNUMBER('Resol  Asuntos'!D10/NºAsuntos!G10),'Resol  Asuntos'!D10/NºAsuntos!G10," - ")</f>
        <v>0.39393939393939392</v>
      </c>
      <c r="E10" s="500">
        <f>IF(ISNUMBER((NºAsuntos!C10+NºAsuntos!E10)/NºAsuntos!G10),(NºAsuntos!C10+NºAsuntos!E10)/NºAsuntos!G10," - ")</f>
        <v>6.1515151515151514</v>
      </c>
      <c r="G10" s="523"/>
    </row>
    <row r="11" spans="1:7">
      <c r="A11" s="450" t="str">
        <f>Datos!A11</f>
        <v xml:space="preserve">Jdos. Familia                                   </v>
      </c>
      <c r="B11" s="497">
        <f>IF(ISNUMBER(NºAsuntos!G11/NºAsuntos!E11),NºAsuntos!G11/NºAsuntos!E11," - ")</f>
        <v>0.8467583497053045</v>
      </c>
      <c r="C11" s="498">
        <f>IF(ISNUMBER(NºAsuntos!I11/NºAsuntos!G11),NºAsuntos!I11/NºAsuntos!G11," - ")</f>
        <v>3.5174013921113687</v>
      </c>
      <c r="D11" s="499">
        <f>IF(ISNUMBER('Resol  Asuntos'!D11/NºAsuntos!G11),'Resol  Asuntos'!D11/NºAsuntos!G11," - ")</f>
        <v>0.44083526682134572</v>
      </c>
      <c r="E11" s="500">
        <f>IF(ISNUMBER((NºAsuntos!C11+NºAsuntos!E11)/NºAsuntos!G11),(NºAsuntos!C11+NºAsuntos!E11)/NºAsuntos!G11," - ")</f>
        <v>4.5150812064965198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0.93982461445418808</v>
      </c>
      <c r="C14" s="1156">
        <f>IF(ISNUMBER(NºAsuntos!I14/NºAsuntos!G14),NºAsuntos!I14/NºAsuntos!G14," - ")</f>
        <v>2.7969755469755468</v>
      </c>
      <c r="D14" s="1157">
        <f>IF(ISNUMBER('Resol  Asuntos'!D14/NºAsuntos!G14),'Resol  Asuntos'!D14/NºAsuntos!G14," - ")</f>
        <v>0.25225225225225223</v>
      </c>
      <c r="E14" s="1158">
        <f>IF(ISNUMBER((NºAsuntos!C14+NºAsuntos!E14)/NºAsuntos!G14),(NºAsuntos!C14+NºAsuntos!E14)/NºAsuntos!G14," - ")</f>
        <v>3.8085585585585586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1.1324908275580921</v>
      </c>
      <c r="C16" s="498">
        <f>IF(ISNUMBER(NºAsuntos!I16/NºAsuntos!G16),NºAsuntos!I16/NºAsuntos!G16," - ")</f>
        <v>0.72246220302375808</v>
      </c>
      <c r="D16" s="499">
        <f>IF(ISNUMBER('Resol  Asuntos'!D16/NºAsuntos!G16),'Resol  Asuntos'!D16/NºAsuntos!G16," - ")</f>
        <v>0.12239020878329733</v>
      </c>
      <c r="E16" s="500">
        <f>IF(ISNUMBER((NºAsuntos!C16+NºAsuntos!E16)/NºAsuntos!G16),(NºAsuntos!C16+NºAsuntos!E16)/NºAsuntos!G16," - ")</f>
        <v>1.7059035277177825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1.5375000000000001</v>
      </c>
      <c r="C18" s="498">
        <f>IF(ISNUMBER(NºAsuntos!I18/NºAsuntos!G18),NºAsuntos!I18/NºAsuntos!G18," - ")</f>
        <v>0.71747967479674801</v>
      </c>
      <c r="D18" s="499">
        <f>IF(ISNUMBER('Resol  Asuntos'!D18/NºAsuntos!G18),'Resol  Asuntos'!D18/NºAsuntos!G18," - ")</f>
        <v>4.2682926829268296E-2</v>
      </c>
      <c r="E18" s="500">
        <f>IF(ISNUMBER((NºAsuntos!C18+NºAsuntos!E18)/NºAsuntos!G18),(NºAsuntos!C18+NºAsuntos!E18)/NºAsuntos!G18," - ")</f>
        <v>1.7134146341463414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1.1792282726289218</v>
      </c>
      <c r="C23" s="1156">
        <f>IF(ISNUMBER(NºAsuntos!I23/NºAsuntos!G23),NºAsuntos!I23/NºAsuntos!G23," - ")</f>
        <v>0.72171253822629966</v>
      </c>
      <c r="D23" s="1159">
        <f>IF(ISNUMBER('Resol  Asuntos'!D23/NºAsuntos!G23),'Resol  Asuntos'!D23/NºAsuntos!G23," - ")</f>
        <v>0.11039755351681957</v>
      </c>
      <c r="E23" s="1158">
        <f>IF(ISNUMBER((NºAsuntos!C23+NºAsuntos!E23)/NºAsuntos!G23),(NºAsuntos!C23+NºAsuntos!E23)/NºAsuntos!G23," - ")</f>
        <v>1.7070336391437309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1.0490131578947368</v>
      </c>
      <c r="C31" s="1099">
        <f>IF(ISNUMBER(NºAsuntos!I31/NºAsuntos!G31),NºAsuntos!I31/NºAsuntos!G31," - ")</f>
        <v>1.7329883976168077</v>
      </c>
      <c r="D31" s="1100">
        <f>IF(ISNUMBER('Resol  Asuntos'!D31/NºAsuntos!G31),'Resol  Asuntos'!D31/NºAsuntos!G31," - ")</f>
        <v>0.17952336155534651</v>
      </c>
      <c r="E31" s="1101">
        <f>IF(ISNUMBER((NºAsuntos!C31+NºAsuntos!E31)/NºAsuntos!G31),(NºAsuntos!C31+NºAsuntos!E31)/NºAsuntos!G31," - ")</f>
        <v>2.7311069300721229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rqV9IvrCYq3U9yUmYTwrJqayaBWFuc3b7g3T5hXj0W6UoVxG15alkgCktbYllPQ13DVcbZAIE7LthVYWNQJ6Q==" saltValue="0Ucw+vpn9kdiO8sk2Yox7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GUADALAJARA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1 al 1</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631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423</v>
      </c>
      <c r="Y9" s="374">
        <f>SUM(W9:X9)</f>
        <v>423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11566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581</v>
      </c>
      <c r="AJ9" s="243" t="str">
        <f>IF(ISNUMBER(Datos!BW9),Datos!BW9," - ")</f>
        <v xml:space="preserve"> - </v>
      </c>
      <c r="AK9" s="242" t="str">
        <f>IF(ISNUMBER(Datos!BX9),Datos!BX9," - ")</f>
        <v xml:space="preserve"> - </v>
      </c>
      <c r="AL9" s="266">
        <f>IF(ISNUMBER(NºAsuntos!G9/NºAsuntos!E9),NºAsuntos!G9/NºAsuntos!E9," - ")</f>
        <v>0.95658465991316932</v>
      </c>
      <c r="AM9" s="284">
        <f>IF(ISNUMBER(((NºAsuntos!I9/NºAsuntos!G9)*11)/factor_trimestre),((NºAsuntos!I9/NºAsuntos!G9)*11)/factor_trimestre," - ")</f>
        <v>7.9504538577912252</v>
      </c>
      <c r="AN9" s="267">
        <f>IF(ISNUMBER('Resol  Asuntos'!D9/NºAsuntos!G9),'Resol  Asuntos'!D9/NºAsuntos!G9," - ")</f>
        <v>0.21974281391830561</v>
      </c>
      <c r="AO9" s="268">
        <f>IF(ISNUMBER((NºAsuntos!C9+NºAsuntos!E9)/NºAsuntos!G9),(NºAsuntos!C9+NºAsuntos!E9)/NºAsuntos!G9," - ")</f>
        <v>3.664145234493192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169</v>
      </c>
      <c r="G10" s="373">
        <f>IF(ISNUMBER(Datos!I10),Datos!I10," - ")</f>
        <v>169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2</v>
      </c>
      <c r="Y10" s="374">
        <f t="shared" ref="Y10:Y13" si="0">SUM(W10:X10)</f>
        <v>35</v>
      </c>
      <c r="Z10" s="375" t="str">
        <f>IF(ISNUMBER(Datos!CC10),Datos!CC10," - ")</f>
        <v xml:space="preserve"> - </v>
      </c>
      <c r="AA10" s="372">
        <f>IF(ISNUMBER(Datos!L10),Datos!L10,"-")</f>
        <v>170</v>
      </c>
      <c r="AB10" s="374">
        <f>IF(ISNUMBER(Datos!R10),Datos!R10," - ")</f>
        <v>90</v>
      </c>
      <c r="AC10" s="374">
        <f t="shared" ref="AC10:AC13" si="1">IF(ISNUMBER(AA10+AB10),AA10+AB10," - ")</f>
        <v>260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0.97058823529411764</v>
      </c>
      <c r="AM10" s="284">
        <f>IF(ISNUMBER(((NºAsuntos!I10/NºAsuntos!G10)*11)/factor_trimestre),((NºAsuntos!I10/NºAsuntos!G10)*11)/factor_trimestre," - ")</f>
        <v>15.454545454545455</v>
      </c>
      <c r="AN10" s="267">
        <f>IF(ISNUMBER('Resol  Asuntos'!D10/NºAsuntos!G10),'Resol  Asuntos'!D10/NºAsuntos!G10," - ")</f>
        <v>0.39393939393939392</v>
      </c>
      <c r="AO10" s="268">
        <f>IF(ISNUMBER((NºAsuntos!C10+NºAsuntos!E10)/NºAsuntos!G10),(NºAsuntos!C10+NºAsuntos!E10)/NºAsuntos!G10," - ")</f>
        <v>6.1515151515151514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108</v>
      </c>
      <c r="Y11" s="374">
        <f t="shared" si="0"/>
        <v>108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1085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190</v>
      </c>
      <c r="AJ11" s="245" t="str">
        <f>IF(ISNUMBER(Datos!BW11),Datos!BW11," - ")</f>
        <v xml:space="preserve"> - </v>
      </c>
      <c r="AK11" s="246" t="str">
        <f>IF(ISNUMBER(Datos!BX11),Datos!BX11," - ")</f>
        <v xml:space="preserve"> - </v>
      </c>
      <c r="AL11" s="266">
        <f>IF(ISNUMBER(NºAsuntos!G11/NºAsuntos!E11),NºAsuntos!G11/NºAsuntos!E11," - ")</f>
        <v>0.8467583497053045</v>
      </c>
      <c r="AM11" s="284">
        <f>IF(ISNUMBER(((NºAsuntos!I11/NºAsuntos!G11)*11)/factor_trimestre),((NºAsuntos!I11/NºAsuntos!G11)*11)/factor_trimestre," - ")</f>
        <v>10.552204176334108</v>
      </c>
      <c r="AN11" s="267">
        <f>IF(ISNUMBER('Resol  Asuntos'!D11/NºAsuntos!G11),'Resol  Asuntos'!D11/NºAsuntos!G11," - ")</f>
        <v>0.44083526682134572</v>
      </c>
      <c r="AO11" s="268">
        <f>IF(ISNUMBER((NºAsuntos!C11+NºAsuntos!E11)/NºAsuntos!G11),(NºAsuntos!C11+NºAsuntos!E11)/NºAsuntos!G11," - ")</f>
        <v>4.5150812064965198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169</v>
      </c>
      <c r="G14" s="1163">
        <f t="shared" si="5"/>
        <v>169</v>
      </c>
      <c r="H14" s="1162">
        <f t="shared" si="5"/>
        <v>0</v>
      </c>
      <c r="I14" s="1164">
        <f t="shared" si="5"/>
        <v>0</v>
      </c>
      <c r="J14" s="1164">
        <f t="shared" si="5"/>
        <v>0</v>
      </c>
      <c r="K14" s="1164">
        <f t="shared" si="5"/>
        <v>0</v>
      </c>
      <c r="L14" s="1164">
        <f t="shared" si="5"/>
        <v>699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533</v>
      </c>
      <c r="Y14" s="1165">
        <f t="shared" si="6"/>
        <v>566</v>
      </c>
      <c r="Z14" s="1165">
        <f t="shared" si="6"/>
        <v>0</v>
      </c>
      <c r="AA14" s="1165">
        <f t="shared" si="6"/>
        <v>170</v>
      </c>
      <c r="AB14" s="1165">
        <f t="shared" si="6"/>
        <v>12770</v>
      </c>
      <c r="AC14" s="1165">
        <f t="shared" si="6"/>
        <v>260</v>
      </c>
      <c r="AD14" s="1165">
        <f t="shared" si="6"/>
        <v>0</v>
      </c>
      <c r="AE14" s="1169">
        <f t="shared" si="6"/>
        <v>0</v>
      </c>
      <c r="AF14" s="1162">
        <f t="shared" si="6"/>
        <v>0</v>
      </c>
      <c r="AG14" s="1170">
        <f t="shared" si="6"/>
        <v>0</v>
      </c>
      <c r="AH14" s="1167">
        <f t="shared" si="6"/>
        <v>0</v>
      </c>
      <c r="AI14" s="1162">
        <f t="shared" si="6"/>
        <v>784</v>
      </c>
      <c r="AJ14" s="1164">
        <f t="shared" si="6"/>
        <v>0</v>
      </c>
      <c r="AK14" s="1167">
        <f>SUBTOTAL(9,AK9:AK13)</f>
        <v>0</v>
      </c>
      <c r="AL14" s="1171">
        <f>IF(ISNUMBER(NºAsuntos!G14/NºAsuntos!E14),NºAsuntos!G14/NºAsuntos!E14," - ")</f>
        <v>0.93982461445418808</v>
      </c>
      <c r="AM14" s="1171">
        <f>IF(ISNUMBER(((NºAsuntos!I14/NºAsuntos!G14)*11)/factor_trimestre),((NºAsuntos!I14/NºAsuntos!G14)*11)/factor_trimestre," - ")</f>
        <v>8.3909266409266401</v>
      </c>
      <c r="AN14" s="1172">
        <f>IF(ISNUMBER('Resol  Asuntos'!D14/NºAsuntos!G14),'Resol  Asuntos'!D14/NºAsuntos!G14," - ")</f>
        <v>0.25225225225225223</v>
      </c>
      <c r="AO14" s="1173">
        <f>IF(ISNUMBER((NºAsuntos!C14+NºAsuntos!E14)/NºAsuntos!G14),(NºAsuntos!C14+NºAsuntos!E14)/NºAsuntos!G14," - ")</f>
        <v>3.8085585585585586</v>
      </c>
      <c r="AP14" s="1174" t="str">
        <f t="shared" si="2"/>
        <v xml:space="preserve"> - </v>
      </c>
      <c r="AQ14" s="1174">
        <f>IF(ISNUMBER((H14-W14+K14)/(F14)),(H14-W14+K14)/(F14)," - ")</f>
        <v>-0.19526627218934911</v>
      </c>
      <c r="AR14" s="1175">
        <f>IF(ISNUMBER((Datos!P14-Datos!Q14)/(Datos!R14-Datos!P14+Datos!Q14)),(Datos!P14-Datos!Q14)/(Datos!R14-Datos!P14+Datos!Q14)," - ")</f>
        <v>1.3170422088225961E-2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2332</v>
      </c>
      <c r="G16" s="373">
        <f>IF(ISNUMBER(IF(D_I="SI",Datos!I16,Datos!I16+Datos!AC16)),IF(D_I="SI",Datos!I16,Datos!I16+Datos!AC16)," - ")</f>
        <v>2286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2778</v>
      </c>
      <c r="X16" s="240">
        <f>IF(ISNUMBER(Datos!Q16),Datos!Q16," - ")</f>
        <v>114</v>
      </c>
      <c r="Y16" s="374">
        <f>SUM(W16)</f>
        <v>2778</v>
      </c>
      <c r="Z16" s="375" t="str">
        <f>IF(ISNUMBER(Datos!CC16),Datos!CC16," - ")</f>
        <v xml:space="preserve"> - </v>
      </c>
      <c r="AA16" s="372">
        <f>IF(ISNUMBER(IF(D_I="SI",Datos!L16,Datos!L16+Datos!AF16)),IF(D_I="SI",Datos!L16,Datos!L16+Datos!AF16)," - ")</f>
        <v>2007</v>
      </c>
      <c r="AB16" s="374">
        <f>IF(ISNUMBER(Datos!R16),Datos!R16," - ")</f>
        <v>421</v>
      </c>
      <c r="AC16" s="374">
        <f t="shared" ref="AC16:AC22" si="8">IF(ISNUMBER(AA16+AB16),AA16+AB16," - ")</f>
        <v>2428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340</v>
      </c>
      <c r="AJ16" s="245" t="str">
        <f>IF(ISNUMBER(Datos!BW16),Datos!BW16," - ")</f>
        <v xml:space="preserve"> - </v>
      </c>
      <c r="AK16" s="246" t="str">
        <f>IF(ISNUMBER(Datos!BX16),Datos!BX16," - ")</f>
        <v xml:space="preserve"> - </v>
      </c>
      <c r="AL16" s="266">
        <f>IF(ISNUMBER(NºAsuntos!G16/NºAsuntos!E16),NºAsuntos!G16/NºAsuntos!E16," - ")</f>
        <v>1.1324908275580921</v>
      </c>
      <c r="AM16" s="284">
        <f>IF(ISNUMBER(((NºAsuntos!I16/NºAsuntos!G16)*11)/factor_trimestre),((NºAsuntos!I16/NºAsuntos!G16)*11)/factor_trimestre," - ")</f>
        <v>2.1673866090712743</v>
      </c>
      <c r="AN16" s="267">
        <f>IF(ISNUMBER('Resol  Asuntos'!D16/NºAsuntos!G16),'Resol  Asuntos'!D16/NºAsuntos!G16," - ")</f>
        <v>0.12239020878329733</v>
      </c>
      <c r="AO16" s="268">
        <f>IF(ISNUMBER((NºAsuntos!C16+NºAsuntos!E16)/NºAsuntos!G16),(NºAsuntos!C16+NºAsuntos!E16)/NºAsuntos!G16," - ")</f>
        <v>1.7059035277177825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492</v>
      </c>
      <c r="X18" s="240">
        <f>IF(ISNUMBER(Datos!Q18),Datos!Q18," - ")</f>
        <v>0</v>
      </c>
      <c r="Y18" s="374">
        <f t="shared" si="9"/>
        <v>492</v>
      </c>
      <c r="Z18" s="375" t="str">
        <f>IF(ISNUMBER(Datos!CC18),Datos!CC18," - ")</f>
        <v xml:space="preserve"> - </v>
      </c>
      <c r="AA18" s="372">
        <f>IF(ISNUMBER(Datos!L18),Datos!L18,"-")</f>
        <v>353</v>
      </c>
      <c r="AB18" s="374">
        <f>IF(ISNUMBER(Datos!R18),Datos!R18," - ")</f>
        <v>7</v>
      </c>
      <c r="AC18" s="374">
        <f t="shared" si="8"/>
        <v>360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1.5375000000000001</v>
      </c>
      <c r="AM18" s="284">
        <f>IF(ISNUMBER(((NºAsuntos!I18/NºAsuntos!G18)*11)/factor_trimestre),((NºAsuntos!I18/NºAsuntos!G18)*11)/factor_trimestre," - ")</f>
        <v>2.1524390243902443</v>
      </c>
      <c r="AN18" s="267">
        <f>IF(ISNUMBER('Resol  Asuntos'!D18/NºAsuntos!G18),'Resol  Asuntos'!D18/NºAsuntos!G18," - ")</f>
        <v>4.2682926829268296E-2</v>
      </c>
      <c r="AO18" s="268">
        <f>IF(ISNUMBER((NºAsuntos!C18+NºAsuntos!E18)/NºAsuntos!G18),(NºAsuntos!C18+NºAsuntos!E18)/NºAsuntos!G18," - ")</f>
        <v>1.7134146341463414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2332</v>
      </c>
      <c r="G23" s="1163">
        <f>SUBTOTAL(9,G16:G22)</f>
        <v>2809</v>
      </c>
      <c r="H23" s="1162">
        <f t="shared" ref="H23:O23" si="13">SUBTOTAL(9,H15:H22)</f>
        <v>0</v>
      </c>
      <c r="I23" s="1164">
        <f t="shared" si="13"/>
        <v>0</v>
      </c>
      <c r="J23" s="1164">
        <f t="shared" si="13"/>
        <v>0</v>
      </c>
      <c r="K23" s="1164">
        <f t="shared" si="13"/>
        <v>0</v>
      </c>
      <c r="L23" s="1164">
        <f t="shared" si="13"/>
        <v>149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3270</v>
      </c>
      <c r="X23" s="1164">
        <f t="shared" si="14"/>
        <v>114</v>
      </c>
      <c r="Y23" s="1165">
        <f t="shared" si="14"/>
        <v>3270</v>
      </c>
      <c r="Z23" s="1165">
        <f t="shared" si="14"/>
        <v>0</v>
      </c>
      <c r="AA23" s="1165">
        <f t="shared" si="14"/>
        <v>2360</v>
      </c>
      <c r="AB23" s="1165">
        <f t="shared" si="14"/>
        <v>428</v>
      </c>
      <c r="AC23" s="1165">
        <f t="shared" si="14"/>
        <v>2788</v>
      </c>
      <c r="AD23" s="1165">
        <f t="shared" si="14"/>
        <v>0</v>
      </c>
      <c r="AE23" s="1169">
        <f t="shared" si="14"/>
        <v>0</v>
      </c>
      <c r="AF23" s="1162">
        <f t="shared" si="14"/>
        <v>0</v>
      </c>
      <c r="AG23" s="1170">
        <f t="shared" si="14"/>
        <v>0</v>
      </c>
      <c r="AH23" s="1167">
        <f t="shared" si="14"/>
        <v>0</v>
      </c>
      <c r="AI23" s="1162">
        <f t="shared" si="14"/>
        <v>361</v>
      </c>
      <c r="AJ23" s="1164">
        <f t="shared" si="14"/>
        <v>0</v>
      </c>
      <c r="AK23" s="1167">
        <f t="shared" si="14"/>
        <v>0</v>
      </c>
      <c r="AL23" s="1171">
        <f>IF(ISNUMBER(NºAsuntos!G23/NºAsuntos!E23),NºAsuntos!G23/NºAsuntos!E23," - ")</f>
        <v>1.1792282726289218</v>
      </c>
      <c r="AM23" s="1171">
        <f>IF(ISNUMBER(((NºAsuntos!I23/NºAsuntos!G23)*11)/factor_trimestre),((NºAsuntos!I23/NºAsuntos!G23)*11)/factor_trimestre," - ")</f>
        <v>2.165137614678899</v>
      </c>
      <c r="AN23" s="1172">
        <f>IF(ISNUMBER('Resol  Asuntos'!D23/NºAsuntos!G23),'Resol  Asuntos'!D23/NºAsuntos!G23," - ")</f>
        <v>0.11039755351681957</v>
      </c>
      <c r="AO23" s="1173">
        <f>IF(ISNUMBER((NºAsuntos!C23+NºAsuntos!E23)/NºAsuntos!G23),(NºAsuntos!C23+NºAsuntos!E23)/NºAsuntos!G23," - ")</f>
        <v>1.7070336391437309</v>
      </c>
      <c r="AP23" s="1174" t="str">
        <f t="shared" si="2"/>
        <v xml:space="preserve"> - </v>
      </c>
      <c r="AQ23" s="1174">
        <f>IF(ISNUMBER((H23-W23+K23)/(F23)),(H23-W23+K23)/(F23)," - ")</f>
        <v>-1.402229845626072</v>
      </c>
      <c r="AR23" s="1175">
        <f>IF(ISNUMBER((Datos!P23-Datos!Q23)/(Datos!R23-Datos!P23+Datos!Q23)),(Datos!P23-Datos!Q23)/(Datos!R23-Datos!P23+Datos!Q23)," - ")</f>
        <v>8.9058524173027995E-2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2501</v>
      </c>
      <c r="G31" s="1118">
        <f t="shared" si="20"/>
        <v>2978</v>
      </c>
      <c r="H31" s="1117">
        <f t="shared" si="20"/>
        <v>0</v>
      </c>
      <c r="I31" s="1119">
        <f t="shared" si="20"/>
        <v>0</v>
      </c>
      <c r="J31" s="1119">
        <f t="shared" si="20"/>
        <v>0</v>
      </c>
      <c r="K31" s="1180">
        <f t="shared" si="20"/>
        <v>0</v>
      </c>
      <c r="L31" s="1119">
        <f t="shared" si="20"/>
        <v>848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3303</v>
      </c>
      <c r="X31" s="1118">
        <f t="shared" si="21"/>
        <v>647</v>
      </c>
      <c r="Y31" s="1125">
        <f t="shared" si="21"/>
        <v>3836</v>
      </c>
      <c r="Z31" s="1125">
        <f t="shared" si="21"/>
        <v>0</v>
      </c>
      <c r="AA31" s="1125">
        <f t="shared" si="21"/>
        <v>2530</v>
      </c>
      <c r="AB31" s="1125">
        <f t="shared" si="21"/>
        <v>13198</v>
      </c>
      <c r="AC31" s="1125">
        <f t="shared" si="21"/>
        <v>3048</v>
      </c>
      <c r="AD31" s="1125">
        <f t="shared" si="21"/>
        <v>0</v>
      </c>
      <c r="AE31" s="1127">
        <f t="shared" si="21"/>
        <v>0</v>
      </c>
      <c r="AF31" s="1128">
        <f t="shared" si="21"/>
        <v>0</v>
      </c>
      <c r="AG31" s="1129">
        <f t="shared" si="21"/>
        <v>0</v>
      </c>
      <c r="AH31" s="1127">
        <f t="shared" si="21"/>
        <v>0</v>
      </c>
      <c r="AI31" s="1117">
        <f t="shared" si="21"/>
        <v>1145</v>
      </c>
      <c r="AJ31" s="1117">
        <f t="shared" si="21"/>
        <v>0</v>
      </c>
      <c r="AK31" s="1127">
        <f t="shared" si="21"/>
        <v>0</v>
      </c>
      <c r="AL31" s="1183">
        <f>IF(ISNUMBER(NºAsuntos!G31/NºAsuntos!E31),NºAsuntos!G31/NºAsuntos!E31," - ")</f>
        <v>1.0490131578947368</v>
      </c>
      <c r="AM31" s="1184">
        <f>IF(ISNUMBER(((NºAsuntos!I31/NºAsuntos!G31)*11)/factor_trimestre),((NºAsuntos!I31/NºAsuntos!G31)*11)/factor_trimestre," - ")</f>
        <v>5.198965192850423</v>
      </c>
      <c r="AN31" s="1184">
        <f>IF(ISNUMBER('Resol  Asuntos'!D31/NºAsuntos!G31),'Resol  Asuntos'!D31/NºAsuntos!G31," - ")</f>
        <v>0.17952336155534651</v>
      </c>
      <c r="AO31" s="1185">
        <f>IF(ISNUMBER((NºAsuntos!C31+NºAsuntos!E31)/NºAsuntos!G31),(NºAsuntos!C31+NºAsuntos!E31)/NºAsuntos!G31," - ")</f>
        <v>2.7311069300721229</v>
      </c>
      <c r="AP31" s="1186" t="str">
        <f t="shared" si="2"/>
        <v xml:space="preserve"> - </v>
      </c>
      <c r="AQ31" s="1187">
        <f>IF(OR(ISNUMBER(FIND("01",Criterios!A8,1)),ISNUMBER(FIND("02",Criterios!A8,1)),ISNUMBER(FIND("03",Criterios!A8,1)),ISNUMBER(FIND("04",Criterios!A8,1))),(I31-W31+K31)/(F31-K31),(H31-W31+K31)/(F31-K31))</f>
        <v>-1.3206717313074769</v>
      </c>
      <c r="AR31" s="1188">
        <f>IF(ISNUMBER((Datos!P31-Datos!Q31)/(Datos!R31-Datos!P31+Datos!Q31)),(Datos!P31-Datos!Q31)/(Datos!R31-Datos!P31+Datos!Q31)," - ")</f>
        <v>1.5465107332461337E-2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850.85714285714289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2.5351332479369448</v>
      </c>
      <c r="F33" s="276">
        <f>IF(ISNUMBER(STDEV(F8:F30)),STDEV(F8:F30),"-")</f>
        <v>1163.0622797884328</v>
      </c>
      <c r="G33" s="277">
        <f>IF(ISNUMBER(STDEV(G8:G30)),STDEV(G8:G30),"-")</f>
        <v>1181.7517264032842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1438.763903991399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280.9582808097237</v>
      </c>
      <c r="AJ33" s="276">
        <f t="shared" si="25"/>
        <v>0</v>
      </c>
      <c r="AK33" s="278">
        <f t="shared" si="25"/>
        <v>0</v>
      </c>
      <c r="AL33" s="273">
        <f t="shared" si="25"/>
        <v>0.23207743294568153</v>
      </c>
      <c r="AM33" s="274">
        <f t="shared" si="25"/>
        <v>5.1179495732234876</v>
      </c>
      <c r="AN33" s="274">
        <f t="shared" si="25"/>
        <v>0.14876727942244181</v>
      </c>
      <c r="AO33" s="275">
        <f t="shared" si="25"/>
        <v>1.7122506138887386</v>
      </c>
      <c r="AP33" s="317" t="str">
        <f t="shared" si="25"/>
        <v>-</v>
      </c>
      <c r="AQ33" s="318">
        <f t="shared" si="25"/>
        <v>0.85345212742225451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PP8ea8eGNVK4+jQ1d3AnyVAKdxbNJhfqm/MgzJbEg0ERmYF/EJ3F/W+qSfNusmA/vNwpp018Iekku0Tng8kKg==" saltValue="LrgclyyTZ1PS+MjgqiFp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GUADALAJARA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-0.10200927357032458</v>
      </c>
      <c r="I9" s="395">
        <f>IF(ISNUMBER((Tasas!C9-Datos!BE9)/Datos!BE9),(Tasas!C9-Datos!BE9)/Datos!BE9," - ")</f>
        <v>2.1343914139432717E-2</v>
      </c>
      <c r="J9" s="394">
        <f>IF(ISNUMBER((Tasas!D9-Datos!BF9)/Datos!BF9),(Tasas!D9-Datos!BF9)/Datos!BF9," - ")</f>
        <v>-0.3760155617691171</v>
      </c>
      <c r="K9" s="396">
        <f>IF(ISNUMBER((Tasas!E9-Datos!BG9)/Datos!BG9),(Tasas!E9-Datos!BG9)/Datos!BG9," - ")</f>
        <v>1.9299285942532957E-2</v>
      </c>
      <c r="M9" t="e">
        <f>IF(Monitorios="SI",Datos!CE9,0)</f>
        <v>#REF!</v>
      </c>
      <c r="N9" t="e">
        <f>IF(Monitorios="SI",Datos!CF9,0)</f>
        <v>#REF!</v>
      </c>
      <c r="O9" t="e">
        <f>IF(Monitorios="SI",Datos!CG9,0)</f>
        <v>#REF!</v>
      </c>
      <c r="P9" t="e">
        <f>IF(Monitorios="SI",Datos!CH9,0)</f>
        <v>#REF!</v>
      </c>
      <c r="Q9">
        <f>IF(J_V="SI",0,Datos!AG9)</f>
        <v>183</v>
      </c>
      <c r="R9">
        <f>IF(J_V="SI",0,Datos!AH9)</f>
        <v>137</v>
      </c>
      <c r="S9">
        <f>IF(J_V="SI",0,Datos!AI9)</f>
        <v>119</v>
      </c>
      <c r="T9">
        <f>IF(J_V="SI",0,Datos!AJ9)</f>
        <v>201</v>
      </c>
    </row>
    <row r="10" spans="2:20" ht="14.25">
      <c r="B10" s="300" t="s">
        <v>317</v>
      </c>
      <c r="C10" s="7" t="str">
        <f>Datos!A10</f>
        <v>Jdos. Violencia contra la mujer</v>
      </c>
      <c r="D10" s="397">
        <f>IF(ISNUMBER((Datos!I10-Datos!S10)/Datos!S10),(Datos!I10-Datos!S10)/Datos!S10," - ")</f>
        <v>0.5089285714285714</v>
      </c>
      <c r="E10" s="393">
        <f>IF(ISNUMBER((Datos!J10-Datos!T10)/Datos!T10),(Datos!J10-Datos!T10)/Datos!T10," - ")</f>
        <v>-0.20930232558139536</v>
      </c>
      <c r="F10" s="393">
        <f>IF(ISNUMBER((Datos!K10-Datos!U10)/Datos!U10),(Datos!K10-Datos!U10)/Datos!U10," - ")</f>
        <v>5.6</v>
      </c>
      <c r="G10" s="394">
        <f>IF(ISNUMBER((Datos!L10-Datos!V10)/Datos!V10),(Datos!L10-Datos!V10)/Datos!V10," - ")</f>
        <v>0.13333333333333333</v>
      </c>
      <c r="H10" s="244">
        <f>IF(ISNUMBER((Datos!M10-Datos!W10)/Datos!W10),(Datos!M10-Datos!W10)/Datos!W10," - ")</f>
        <v>2.25</v>
      </c>
      <c r="I10" s="395">
        <f>IF(ISNUMBER((Tasas!C10-Datos!BE10)/Datos!BE10),(Tasas!C10-Datos!BE10)/Datos!BE10," - ")</f>
        <v>-0.82828282828282829</v>
      </c>
      <c r="J10" s="394">
        <f>IF(ISNUMBER((Tasas!D10-Datos!BF10)/Datos!BF10),(Tasas!D10-Datos!BF10)/Datos!BF10," - ")</f>
        <v>-0.50757575757575757</v>
      </c>
      <c r="K10" s="396">
        <f>IF(ISNUMBER((Tasas!E10-Datos!BG10)/Datos!BG10),(Tasas!E10-Datos!BG10)/Datos!BG10," - ")</f>
        <v>-0.80156402737047894</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-0.20168067226890757</v>
      </c>
      <c r="I11" s="395">
        <f>IF(ISNUMBER((Tasas!C11-Datos!BE11)/Datos!BE11),(Tasas!C11-Datos!BE11)/Datos!BE11," - ")</f>
        <v>0.35506447073142894</v>
      </c>
      <c r="J11" s="394">
        <f>IF(ISNUMBER((Tasas!D11-Datos!BF11)/Datos!BF11),(Tasas!D11-Datos!BF11)/Datos!BF11," - ")</f>
        <v>0.50934988706381268</v>
      </c>
      <c r="K11" s="396">
        <f>IF(ISNUMBER((Tasas!E11-Datos!BG11)/Datos!BG11),(Tasas!E11-Datos!BG11)/Datos!BG11," - ")</f>
        <v>0.25702583939617696</v>
      </c>
      <c r="M11" t="e">
        <f>IF(Monitorios="SI",Datos!CE11,0)</f>
        <v>#REF!</v>
      </c>
      <c r="N11" t="e">
        <f>IF(Monitorios="SI",Datos!CF11,0)</f>
        <v>#REF!</v>
      </c>
      <c r="O11" t="e">
        <f>IF(Monitorios="SI",Datos!CG11,0)</f>
        <v>#REF!</v>
      </c>
      <c r="P11" t="e">
        <f>IF(Monitorios="SI",Datos!CH11,0)</f>
        <v>#REF!</v>
      </c>
      <c r="Q11">
        <f>IF(J_V="SI",0,Datos!AG11)</f>
        <v>266</v>
      </c>
      <c r="R11">
        <f>IF(J_V="SI",0,Datos!AH11)</f>
        <v>63</v>
      </c>
      <c r="S11">
        <f>IF(J_V="SI",0,Datos!AI11)</f>
        <v>60</v>
      </c>
      <c r="T11">
        <f>IF(J_V="SI",0,Datos!AJ11)</f>
        <v>269</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8</v>
      </c>
      <c r="R12">
        <f>IF(J_V="SI",0,Datos!AH12)</f>
        <v>2</v>
      </c>
      <c r="S12">
        <f>IF(J_V="SI",0,Datos!AI12)</f>
        <v>2</v>
      </c>
      <c r="T12">
        <f>IF(J_V="SI",0,Datos!AJ12)</f>
        <v>8</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-0.11811023622047244</v>
      </c>
      <c r="I14" s="402">
        <f>IF(ISNUMBER((Tasas!C14-Datos!BE14)/Datos!BE14),(Tasas!C14-Datos!BE14)/Datos!BE14," - ")</f>
        <v>6.0459901505034865E-2</v>
      </c>
      <c r="J14" s="400">
        <f>IF(ISNUMBER((Tasas!D14-Datos!BF14)/Datos!BF14),(Tasas!D14-Datos!BF14)/Datos!BF14," - ")</f>
        <v>-0.26505714546192932</v>
      </c>
      <c r="K14" s="403">
        <f>IF(ISNUMBER((Tasas!E14-Datos!BG14)/Datos!BG14),(Tasas!E14-Datos!BG14)/Datos!BG14," - ")</f>
        <v>4.7204805951984286E-2</v>
      </c>
      <c r="M14" t="e">
        <f>IF(Monitorios="SI",Datos!CE14,0)</f>
        <v>#REF!</v>
      </c>
      <c r="N14" t="e">
        <f>IF(Monitorios="SI",Datos!CF14,0)</f>
        <v>#REF!</v>
      </c>
      <c r="O14" t="e">
        <f>IF(Monitorios="SI",Datos!CG14,0)</f>
        <v>#REF!</v>
      </c>
      <c r="P14" t="e">
        <f>IF(Monitorios="SI",Datos!CH14,0)</f>
        <v>#REF!</v>
      </c>
      <c r="Q14">
        <f>IF(J_V="SI",0,Datos!AG14)</f>
        <v>457</v>
      </c>
      <c r="R14">
        <f>IF(J_V="SI",0,Datos!AH14)</f>
        <v>202</v>
      </c>
      <c r="S14">
        <f>IF(J_V="SI",0,Datos!AI14)</f>
        <v>181</v>
      </c>
      <c r="T14">
        <f>IF(J_V="SI",0,Datos!AJ14)</f>
        <v>478</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-0.14892032762472077</v>
      </c>
      <c r="E16" s="393">
        <f>IF(ISNUMBER(
   IF(D_I="SI",(Datos!J16-Datos!T16)/Datos!T16,(Datos!J16+Datos!AD16-(Datos!T16+Datos!AL16))/(Datos!T16+Datos!AL16))
     ),IF(D_I="SI",(Datos!J16-Datos!T16)/Datos!T16,(Datos!J16+Datos!AD16-(Datos!T16+Datos!AL16))/(Datos!T16+Datos!AL16))," - ")</f>
        <v>0.21195652173913043</v>
      </c>
      <c r="F16" s="393">
        <f>IF(ISNUMBER(
   IF(D_I="SI",(Datos!K16-Datos!U16)/Datos!U16,(Datos!K16+Datos!AE16-(Datos!U16+Datos!AM16))/(Datos!U16+Datos!AM16))
     ),IF(D_I="SI",(Datos!K16-Datos!U16)/Datos!U16,(Datos!K16+Datos!AE16-(Datos!U16+Datos!AM16))/(Datos!U16+Datos!AM16))," - ")</f>
        <v>0.31161473087818697</v>
      </c>
      <c r="G16" s="394">
        <f>IF(ISNUMBER(
   IF(D_I="SI",(Datos!L16-Datos!V16)/Datos!V16,(Datos!L16+Datos!AF16-(Datos!V16+Datos!AN16))/(Datos!V16+Datos!AN16))
     ),IF(D_I="SI",(Datos!L16-Datos!V16)/Datos!V16,(Datos!L16+Datos!AF16-(Datos!V16+Datos!AN16))/(Datos!V16+Datos!AN16))," - ")</f>
        <v>-0.18744939271255059</v>
      </c>
      <c r="H16" s="244">
        <f>IF(ISNUMBER((Datos!M16-Datos!W16)/Datos!W16),(Datos!M16-Datos!W16)/Datos!W16," - ")</f>
        <v>5.9190031152647975E-2</v>
      </c>
      <c r="I16" s="395">
        <f>IF(ISNUMBER((Tasas!C16-Datos!BE16)/Datos!BE16),(Tasas!C16-Datos!BE16)/Datos!BE16," - ")</f>
        <v>-0.38049597327760337</v>
      </c>
      <c r="J16" s="394">
        <f>IF(ISNUMBER((Tasas!D16-Datos!BF16)/Datos!BF16),(Tasas!D16-Datos!BF16)/Datos!BF16," - ")</f>
        <v>-0.19245338877562701</v>
      </c>
      <c r="K16" s="396">
        <f>IF(ISNUMBER((Tasas!E16-Datos!BG16)/Datos!BG16),(Tasas!E16-Datos!BG16)/Datos!BG16," - ")</f>
        <v>-0.23288669390525188</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0.11513859275053305</v>
      </c>
      <c r="E18" s="393">
        <f>IF(ISNUMBER(
   IF(D_I="SI",(Datos!J18-Datos!T18)/Datos!T18,(Datos!J18+Datos!AD18-(Datos!T18+Datos!AL18))/(Datos!T18+Datos!AL18))
     ),IF(D_I="SI",(Datos!J18-Datos!T18)/Datos!T18,(Datos!J18+Datos!AD18-(Datos!T18+Datos!AL18))/(Datos!T18+Datos!AL18))," - ")</f>
        <v>0.56862745098039214</v>
      </c>
      <c r="F18" s="393">
        <f>IF(ISNUMBER(
   IF(D_I="SI",(Datos!K18-Datos!U18)/Datos!U18,(Datos!K18+Datos!AE18-(Datos!U18+Datos!AM18))/(Datos!U18+Datos!AM18))
     ),IF(D_I="SI",(Datos!K18-Datos!U18)/Datos!U18,(Datos!K18+Datos!AE18-(Datos!U18+Datos!AM18))/(Datos!U18+Datos!AM18))," - ")</f>
        <v>1.0330578512396693</v>
      </c>
      <c r="G18" s="394">
        <f>IF(ISNUMBER(
   IF(D_I="SI",(Datos!L18-Datos!V18)/Datos!V18,(Datos!L18+Datos!AF18-(Datos!V18+Datos!AN18))/(Datos!V18+Datos!AN18))
     ),IF(D_I="SI",(Datos!L18-Datos!V18)/Datos!V18,(Datos!L18+Datos!AF18-(Datos!V18+Datos!AN18))/(Datos!V18+Datos!AN18))," - ")</f>
        <v>-0.20316027088036118</v>
      </c>
      <c r="H18" s="244">
        <f>IF(ISNUMBER((Datos!M18-Datos!W18)/Datos!W18),(Datos!M18-Datos!W18)/Datos!W18," - ")</f>
        <v>-0.19230769230769232</v>
      </c>
      <c r="I18" s="395">
        <f>IF(ISNUMBER((Tasas!C18-Datos!BE18)/Datos!BE18),(Tasas!C18-Datos!BE18)/Datos!BE18," - ")</f>
        <v>-0.60805850722164101</v>
      </c>
      <c r="J18" s="394">
        <f>IF(ISNUMBER((Tasas!D18-Datos!BF18)/Datos!BF18),(Tasas!D18-Datos!BF18)/Datos!BF18," - ")</f>
        <v>-0.60272045028142585</v>
      </c>
      <c r="K18" s="396">
        <f>IF(ISNUMBER((Tasas!E18-Datos!BG18)/Datos!BG18),(Tasas!E18-Datos!BG18)/Datos!BG18," - ")</f>
        <v>-0.38388359366505997</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-0.10966719492868462</v>
      </c>
      <c r="E23" s="399">
        <f>IF(ISNUMBER(
   IF(D_I="SI",(Datos!J23-Datos!T23)/Datos!T23,(Datos!J23+Datos!AD23-(Datos!T23+Datos!AL23))/(Datos!T23+Datos!AL23))
     ),IF(D_I="SI",(Datos!J23-Datos!T23)/Datos!T23,(Datos!J23+Datos!AD23-(Datos!T23+Datos!AL23))/(Datos!T23+Datos!AL23))," - ")</f>
        <v>0.24461400359066426</v>
      </c>
      <c r="F23" s="399">
        <f>IF(ISNUMBER(
   IF(D_I="SI",(Datos!K23-Datos!U23)/Datos!U23,(Datos!K23+Datos!AE23-(Datos!U23+Datos!AM23))/(Datos!U23+Datos!AM23))
     ),IF(D_I="SI",(Datos!K23-Datos!U23)/Datos!U23,(Datos!K23+Datos!AE23-(Datos!U23+Datos!AM23))/(Datos!U23+Datos!AM23))," - ")</f>
        <v>0.38559322033898308</v>
      </c>
      <c r="G23" s="400">
        <f>IF(ISNUMBER(
   IF(D_I="SI",(Datos!L23-Datos!V23)/Datos!V23,(Datos!L23+Datos!AF23-(Datos!V23+Datos!AN23))/(Datos!V23+Datos!AN23))
     ),IF(D_I="SI",(Datos!L23-Datos!V23)/Datos!V23,(Datos!L23+Datos!AF23-(Datos!V23+Datos!AN23))/(Datos!V23+Datos!AN23))," - ")</f>
        <v>-0.18983865430827326</v>
      </c>
      <c r="H23" s="401">
        <f>IF(ISNUMBER((Datos!M23-Datos!W23)/Datos!W23),(Datos!M23-Datos!W23)/Datos!W23," - ")</f>
        <v>4.0345821325648415E-2</v>
      </c>
      <c r="I23" s="402">
        <f>IF(ISNUMBER((Tasas!C23-Datos!BE23)/Datos!BE23),(Tasas!C23-Datos!BE23)/Datos!BE23," - ")</f>
        <v>-0.41529639882798935</v>
      </c>
      <c r="J23" s="400">
        <f>IF(ISNUMBER((Tasas!D23-Datos!BF23)/Datos!BF23),(Tasas!D23-Datos!BF23)/Datos!BF23," - ")</f>
        <v>-0.24916937665794189</v>
      </c>
      <c r="K23" s="403">
        <f>IF(ISNUMBER((Tasas!E23-Datos!BG23)/Datos!BG23),(Tasas!E23-Datos!BG23)/Datos!BG23," - ")</f>
        <v>-0.25160702426542736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-7.5273522975929982E-3</v>
      </c>
      <c r="E31" s="409">
        <f>IF(ISNUMBER(
   IF(J_V="SI",(Datos!J31-Datos!T31)/Datos!T31,(Datos!J31+Datos!Z31-(Datos!T31+Datos!AH31))/(Datos!T31+Datos!AH31))
     ),IF(J_V="SI",(Datos!J31-Datos!T31)/Datos!T31,(Datos!J31+Datos!Z31-(Datos!T31+Datos!AH31))/(Datos!T31+Datos!AH31))," - ")</f>
        <v>0.11029948867786706</v>
      </c>
      <c r="F31" s="409">
        <f>IF(ISNUMBER(
   IF(J_V="SI",(Datos!K31-Datos!U31)/Datos!U31,(Datos!K31+Datos!AA31-(Datos!U31+Datos!AI31))/(Datos!U31+Datos!AI31))
     ),IF(J_V="SI",(Datos!K31-Datos!U31)/Datos!U31,(Datos!K31+Datos!AA31-(Datos!U31+Datos!AI31))/(Datos!U31+Datos!AI31))," - ")</f>
        <v>0.15397141306314457</v>
      </c>
      <c r="G31" s="410">
        <f>IF(ISNUMBER(
   IF(J_V="SI",(Datos!L31-Datos!V31)/Datos!V31,(Datos!L31+Datos!AB31-(Datos!V31+Datos!AJ31))/(Datos!V31+Datos!AJ31))
     ),IF(J_V="SI",(Datos!L31-Datos!V31)/Datos!V31,(Datos!L31+Datos!AB31-(Datos!V31+Datos!AJ31))/(Datos!V31+Datos!AJ31))," - ")</f>
        <v>-1.8906444168293981E-2</v>
      </c>
      <c r="H31" s="411">
        <f>IF(ISNUMBER((Datos!M31-Datos!W31)/Datos!W31),(Datos!M31-Datos!W31)/Datos!W31," - ")</f>
        <v>-7.3624595469255663E-2</v>
      </c>
      <c r="I31" s="408">
        <f>IF(ISNUMBER((Tasas!C31-Datos!BE31)/Datos!BE31),(Tasas!C31-Datos!BE31)/Datos!BE31," - ")</f>
        <v>-0.14981121306336795</v>
      </c>
      <c r="J31" s="409">
        <f>IF(ISNUMBER((Tasas!D31-Datos!BF31)/Datos!BF31),(Tasas!D31-Datos!BF31)/Datos!BF31," - ")</f>
        <v>-0.30807139517684784</v>
      </c>
      <c r="K31" s="410">
        <f>IF(ISNUMBER((Tasas!E31-Datos!BG31)/Datos!BG31),(Tasas!E31-Datos!BG31)/Datos!BG31," - ")</f>
        <v>-0.10686775915575271</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0.30170377407294036</v>
      </c>
      <c r="E33" s="303">
        <f t="shared" si="1"/>
        <v>0.3191054116030746</v>
      </c>
      <c r="F33" s="303">
        <f t="shared" si="1"/>
        <v>2.5324425108586728</v>
      </c>
      <c r="G33" s="304">
        <f t="shared" si="1"/>
        <v>0.1635541812199269</v>
      </c>
      <c r="H33" s="310">
        <f t="shared" si="1"/>
        <v>0.88876320272247689</v>
      </c>
      <c r="I33" s="302">
        <f t="shared" si="1"/>
        <v>0.4168917121937869</v>
      </c>
      <c r="J33" s="303">
        <f t="shared" si="1"/>
        <v>0.36197585576959401</v>
      </c>
      <c r="K33" s="304">
        <f t="shared" si="1"/>
        <v>0.34571231711730682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4AmIfggF2YCUG+zJbxHjSul/GCrAcdF36P3/7iHemKQJ/oZbzUiFVHlulByQ0gQJkD+UHLY6Pcdt+gYvlTlqQ==" saltValue="CaMYghwI15XocfWfHQCN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